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5" sheetId="1" r:id="rId1"/>
  </sheets>
  <definedNames>
    <definedName name="_xlnm.Print_Titles" localSheetId="0">'01.05'!$6:$9</definedName>
    <definedName name="_xlnm.Print_Area" localSheetId="0">'01.05'!$A$1:$J$123</definedName>
  </definedNames>
  <calcPr fullCalcOnLoad="1"/>
</workbook>
</file>

<file path=xl/sharedStrings.xml><?xml version="1.0" encoding="utf-8"?>
<sst xmlns="http://schemas.openxmlformats.org/spreadsheetml/2006/main" count="347" uniqueCount="288">
  <si>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</si>
  <si>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</si>
  <si>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</si>
  <si>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</si>
  <si>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</si>
  <si>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</si>
  <si>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</si>
  <si>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</si>
  <si>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</si>
  <si>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</si>
  <si>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</si>
  <si>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</si>
  <si>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</si>
  <si>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</si>
  <si>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</si>
  <si>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</si>
  <si>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</si>
  <si>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</si>
  <si>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</si>
  <si>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</si>
  <si>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</si>
  <si>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</si>
  <si>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</si>
  <si>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</si>
  <si>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</si>
  <si>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</si>
  <si>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</si>
  <si>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</si>
  <si>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</si>
  <si>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</si>
  <si>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</si>
  <si>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</si>
  <si>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</si>
  <si>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</si>
  <si>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</si>
  <si>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</si>
  <si>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</si>
  <si>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</si>
  <si>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</si>
  <si>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</si>
  <si>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</si>
  <si>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</si>
  <si>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</si>
  <si>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</si>
  <si>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</si>
  <si>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</si>
  <si>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</si>
  <si>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</si>
  <si>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</si>
  <si>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</si>
  <si>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</si>
  <si>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</si>
  <si>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</si>
  <si>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</si>
  <si>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</si>
  <si>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</si>
  <si>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</si>
  <si>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</si>
  <si>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</si>
  <si>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</si>
  <si>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</si>
  <si>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</si>
  <si>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</si>
  <si>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</si>
  <si>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</si>
  <si>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</si>
  <si>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</si>
  <si>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</si>
  <si>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</si>
  <si>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</si>
  <si>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</si>
  <si>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</si>
  <si>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</si>
  <si>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</si>
  <si>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</si>
  <si>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</si>
  <si>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</si>
  <si>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</si>
  <si>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</si>
  <si>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</si>
  <si>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</si>
  <si>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</si>
  <si>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</si>
  <si>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</si>
  <si>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</si>
  <si>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</si>
  <si>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</si>
  <si>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</si>
  <si>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</si>
  <si>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</si>
  <si>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</si>
  <si>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</si>
  <si>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</si>
  <si>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</si>
  <si>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</si>
  <si>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</si>
  <si>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</si>
  <si>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</si>
  <si>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</si>
  <si>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</si>
  <si>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</si>
  <si>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</si>
  <si>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</si>
  <si>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</si>
  <si>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</si>
  <si>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</si>
  <si>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</si>
  <si>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</si>
  <si>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</si>
  <si>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</si>
  <si>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</si>
  <si>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</si>
  <si>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</si>
  <si>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</si>
  <si>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</si>
  <si>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</si>
  <si>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</si>
  <si>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</si>
  <si>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</si>
  <si>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</si>
  <si>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</si>
  <si>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</si>
  <si>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</si>
  <si>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</si>
  <si>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</si>
  <si>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</si>
  <si>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</si>
  <si>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</si>
  <si>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</si>
  <si>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</si>
  <si>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</si>
  <si>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</si>
  <si>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</si>
  <si>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</si>
  <si>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</si>
  <si>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</si>
  <si>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</si>
  <si>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</si>
  <si>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</si>
  <si>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</si>
  <si>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</si>
  <si>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</si>
  <si>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</si>
  <si>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</si>
  <si>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</si>
  <si>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</si>
  <si>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</si>
  <si>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</si>
  <si>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</si>
  <si>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</si>
  <si>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</si>
  <si>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</si>
  <si>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</si>
  <si>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</si>
  <si>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</si>
  <si>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</si>
  <si>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</si>
  <si>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</si>
  <si>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</si>
  <si>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</si>
  <si>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</si>
  <si>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</si>
  <si>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</si>
  <si>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</si>
  <si>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</si>
  <si>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</si>
  <si>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</si>
  <si>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</si>
  <si>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</si>
  <si>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</si>
  <si>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</si>
  <si>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</si>
  <si>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</si>
  <si>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</si>
  <si>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</si>
  <si>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</si>
  <si>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</si>
  <si>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</si>
  <si>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</si>
  <si>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</si>
  <si>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</si>
  <si>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</si>
  <si>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</si>
  <si>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</si>
  <si>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</si>
  <si>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</si>
  <si>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</si>
  <si>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</si>
  <si>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</si>
  <si>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</si>
  <si>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</si>
  <si>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</si>
  <si>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</si>
  <si>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</si>
  <si>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</si>
  <si>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</si>
  <si>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</si>
  <si>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</si>
  <si>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</si>
  <si>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</si>
  <si>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</si>
  <si>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</si>
  <si>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</si>
  <si>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</si>
  <si>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</si>
  <si>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</si>
  <si>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</si>
  <si>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</si>
  <si>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</si>
  <si>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</si>
  <si>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</si>
  <si>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</si>
  <si>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</si>
  <si>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</si>
  <si>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</si>
  <si>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</si>
  <si>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</si>
  <si>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</si>
  <si>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</si>
  <si>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</si>
  <si>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</si>
  <si>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</si>
  <si>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</si>
  <si>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</si>
  <si>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</si>
  <si>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</si>
  <si>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</si>
  <si>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</si>
  <si>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</si>
  <si>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</si>
  <si>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</si>
  <si>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</si>
  <si>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</si>
  <si>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</si>
  <si>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</si>
  <si>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</si>
  <si>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</si>
  <si>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</si>
  <si>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про укладення договорів про закупівлю товарів, робіт і послуг та їх виконання за станом на 01.05.2019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</si>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</sst>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5" zoomScaleNormal="75" zoomScaleSheetLayoutView="75" zoomScalePageLayoutView="0" workbookViewId="0" topLeftCell="A111">
      <selection activeCell="D121" sqref="D121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238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18.75">
      <c r="A6" s="42" t="s">
        <v>0</v>
      </c>
      <c r="B6" s="42" t="s">
        <v>1</v>
      </c>
      <c r="C6" s="42" t="s">
        <v>20</v>
      </c>
      <c r="D6" s="42" t="s">
        <v>2</v>
      </c>
      <c r="E6" s="43" t="s">
        <v>3</v>
      </c>
      <c r="F6" s="43" t="s">
        <v>4</v>
      </c>
      <c r="G6" s="43"/>
      <c r="H6" s="43"/>
      <c r="I6" s="43"/>
      <c r="J6" s="43"/>
      <c r="K6" s="4"/>
    </row>
    <row r="7" spans="1:11" ht="18.75">
      <c r="A7" s="42"/>
      <c r="B7" s="42"/>
      <c r="C7" s="42"/>
      <c r="D7" s="42"/>
      <c r="E7" s="43"/>
      <c r="F7" s="43" t="s">
        <v>18</v>
      </c>
      <c r="G7" s="43" t="s">
        <v>19</v>
      </c>
      <c r="H7" s="43"/>
      <c r="I7" s="43"/>
      <c r="J7" s="43"/>
      <c r="K7" s="4"/>
    </row>
    <row r="8" spans="1:11" ht="168.75">
      <c r="A8" s="42"/>
      <c r="B8" s="42"/>
      <c r="C8" s="42"/>
      <c r="D8" s="42"/>
      <c r="E8" s="43"/>
      <c r="F8" s="43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93.75">
      <c r="A11" s="11" t="s">
        <v>37</v>
      </c>
      <c r="B11" s="11" t="s">
        <v>36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54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v>4.914</v>
      </c>
      <c r="F14" s="12">
        <f>SUM(G14:J14)</f>
        <v>4.914</v>
      </c>
      <c r="G14" s="19">
        <v>4.914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</f>
        <v>6.76896</v>
      </c>
      <c r="F15" s="12">
        <f>SUM(G15:J15)</f>
        <v>6.76896</v>
      </c>
      <c r="G15" s="19">
        <f>4.3875+2.38146</f>
        <v>6.76896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</f>
        <v>2.6670000000000003</v>
      </c>
      <c r="F22" s="12">
        <f t="shared" si="0"/>
        <v>2.6670000000000003</v>
      </c>
      <c r="G22" s="19">
        <f>2.132+0.535</f>
        <v>2.6670000000000003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</f>
        <v>1.056</v>
      </c>
      <c r="F23" s="12">
        <f t="shared" si="0"/>
        <v>1.056</v>
      </c>
      <c r="G23" s="19"/>
      <c r="H23" s="12"/>
      <c r="I23" s="19">
        <f>0.487+0.569</f>
        <v>1.056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v>6.25</v>
      </c>
      <c r="F24" s="12">
        <f t="shared" si="0"/>
        <v>6.25</v>
      </c>
      <c r="G24" s="19"/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8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8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v>1.07</v>
      </c>
      <c r="F28" s="12">
        <f t="shared" si="0"/>
        <v>1.07</v>
      </c>
      <c r="G28" s="19">
        <v>1.07</v>
      </c>
      <c r="H28" s="12"/>
      <c r="I28" s="19"/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8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8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8" t="s">
        <v>192</v>
      </c>
      <c r="D32" s="31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8" t="s">
        <v>196</v>
      </c>
      <c r="D33" s="31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265</v>
      </c>
      <c r="B34" s="11" t="s">
        <v>267</v>
      </c>
      <c r="C34" s="28" t="s">
        <v>266</v>
      </c>
      <c r="D34" s="31" t="s">
        <v>264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239</v>
      </c>
      <c r="B35" s="14" t="s">
        <v>53</v>
      </c>
      <c r="C35" s="1">
        <v>41224168</v>
      </c>
      <c r="D35" s="31" t="s">
        <v>56</v>
      </c>
      <c r="E35" s="19">
        <v>29.712</v>
      </c>
      <c r="F35" s="12">
        <f t="shared" si="0"/>
        <v>7.38</v>
      </c>
      <c r="G35" s="19">
        <v>7.38</v>
      </c>
      <c r="H35" s="12"/>
      <c r="I35" s="19"/>
      <c r="J35" s="12"/>
    </row>
    <row r="36" spans="1:10" ht="75.75" customHeight="1">
      <c r="A36" s="11" t="s">
        <v>285</v>
      </c>
      <c r="B36" s="14" t="s">
        <v>53</v>
      </c>
      <c r="C36" s="1">
        <v>41224168</v>
      </c>
      <c r="D36" s="31" t="s">
        <v>286</v>
      </c>
      <c r="E36" s="19">
        <v>40.23</v>
      </c>
      <c r="F36" s="12">
        <f t="shared" si="0"/>
        <v>18.774</v>
      </c>
      <c r="G36" s="19">
        <v>18.774</v>
      </c>
      <c r="H36" s="12"/>
      <c r="I36" s="19"/>
      <c r="J36" s="12"/>
    </row>
    <row r="37" spans="1:10" ht="75.75" customHeight="1">
      <c r="A37" s="11" t="s">
        <v>268</v>
      </c>
      <c r="B37" s="14" t="s">
        <v>270</v>
      </c>
      <c r="C37" s="1">
        <v>2146511192</v>
      </c>
      <c r="D37" s="31" t="s">
        <v>269</v>
      </c>
      <c r="E37" s="19">
        <v>81.359</v>
      </c>
      <c r="F37" s="12">
        <f t="shared" si="0"/>
        <v>79.91726</v>
      </c>
      <c r="G37" s="19"/>
      <c r="H37" s="12"/>
      <c r="I37" s="19">
        <f>79.91726</f>
        <v>79.91726</v>
      </c>
      <c r="J37" s="12"/>
    </row>
    <row r="38" spans="1:10" ht="75.75" customHeight="1">
      <c r="A38" s="11" t="s">
        <v>241</v>
      </c>
      <c r="B38" s="11" t="s">
        <v>28</v>
      </c>
      <c r="C38" s="1">
        <v>2910606505</v>
      </c>
      <c r="D38" s="31" t="s">
        <v>242</v>
      </c>
      <c r="E38" s="19">
        <v>0.042</v>
      </c>
      <c r="F38" s="12">
        <f t="shared" si="0"/>
        <v>0.042</v>
      </c>
      <c r="G38" s="19">
        <v>0.042</v>
      </c>
      <c r="H38" s="12"/>
      <c r="I38" s="19"/>
      <c r="J38" s="12"/>
    </row>
    <row r="39" spans="1:10" ht="75.75" customHeight="1">
      <c r="A39" s="11" t="s">
        <v>271</v>
      </c>
      <c r="B39" s="11" t="s">
        <v>28</v>
      </c>
      <c r="C39" s="1">
        <v>2910606505</v>
      </c>
      <c r="D39" s="31" t="s">
        <v>272</v>
      </c>
      <c r="E39" s="19">
        <v>0.0954</v>
      </c>
      <c r="F39" s="12">
        <f t="shared" si="0"/>
        <v>0.0954</v>
      </c>
      <c r="G39" s="19"/>
      <c r="H39" s="12"/>
      <c r="I39" s="19">
        <v>0.0954</v>
      </c>
      <c r="J39" s="12"/>
    </row>
    <row r="40" spans="1:10" ht="75.75" customHeight="1">
      <c r="A40" s="11" t="s">
        <v>273</v>
      </c>
      <c r="B40" s="11" t="s">
        <v>28</v>
      </c>
      <c r="C40" s="1">
        <v>2910606505</v>
      </c>
      <c r="D40" s="31" t="s">
        <v>274</v>
      </c>
      <c r="E40" s="19">
        <v>4.6491</v>
      </c>
      <c r="F40" s="12">
        <f t="shared" si="0"/>
        <v>3.5691</v>
      </c>
      <c r="G40" s="19"/>
      <c r="H40" s="12"/>
      <c r="I40" s="19">
        <v>3.5691</v>
      </c>
      <c r="J40" s="12"/>
    </row>
    <row r="41" spans="1:10" ht="159" customHeight="1">
      <c r="A41" s="11" t="s">
        <v>275</v>
      </c>
      <c r="B41" s="11" t="s">
        <v>28</v>
      </c>
      <c r="C41" s="1">
        <v>2910606505</v>
      </c>
      <c r="D41" s="31" t="s">
        <v>276</v>
      </c>
      <c r="E41" s="19">
        <v>2.5575</v>
      </c>
      <c r="F41" s="12">
        <f t="shared" si="0"/>
        <v>2.5575</v>
      </c>
      <c r="G41" s="19"/>
      <c r="H41" s="12"/>
      <c r="I41" s="19">
        <v>2.5575</v>
      </c>
      <c r="J41" s="12"/>
    </row>
    <row r="42" spans="1:10" ht="75.75" customHeight="1">
      <c r="A42" s="11" t="s">
        <v>243</v>
      </c>
      <c r="B42" s="11" t="s">
        <v>28</v>
      </c>
      <c r="C42" s="1">
        <v>2910606505</v>
      </c>
      <c r="D42" s="31" t="s">
        <v>244</v>
      </c>
      <c r="E42" s="19">
        <v>0.252</v>
      </c>
      <c r="F42" s="12">
        <f t="shared" si="0"/>
        <v>0.252</v>
      </c>
      <c r="G42" s="19">
        <v>0.252</v>
      </c>
      <c r="H42" s="12"/>
      <c r="I42" s="19"/>
      <c r="J42" s="12"/>
    </row>
    <row r="43" spans="1:10" ht="75.75" customHeight="1">
      <c r="A43" s="11" t="s">
        <v>261</v>
      </c>
      <c r="B43" s="11" t="s">
        <v>259</v>
      </c>
      <c r="C43" s="28" t="s">
        <v>260</v>
      </c>
      <c r="D43" s="31" t="s">
        <v>258</v>
      </c>
      <c r="E43" s="19">
        <v>1.8</v>
      </c>
      <c r="F43" s="12">
        <f t="shared" si="0"/>
        <v>1.8</v>
      </c>
      <c r="G43" s="19"/>
      <c r="H43" s="12">
        <v>1.8</v>
      </c>
      <c r="I43" s="19"/>
      <c r="J43" s="12"/>
    </row>
    <row r="44" spans="1:10" ht="75.75" customHeight="1">
      <c r="A44" s="11" t="s">
        <v>240</v>
      </c>
      <c r="B44" s="14" t="s">
        <v>53</v>
      </c>
      <c r="C44" s="1">
        <v>41224168</v>
      </c>
      <c r="D44" s="31" t="s">
        <v>52</v>
      </c>
      <c r="E44" s="19">
        <v>13.2</v>
      </c>
      <c r="F44" s="12">
        <f t="shared" si="0"/>
        <v>5.28</v>
      </c>
      <c r="G44" s="19">
        <v>5.28</v>
      </c>
      <c r="H44" s="12"/>
      <c r="I44" s="19"/>
      <c r="J44" s="12"/>
    </row>
    <row r="45" spans="1:10" ht="117.75" customHeight="1">
      <c r="A45" s="11" t="s">
        <v>277</v>
      </c>
      <c r="B45" s="14" t="s">
        <v>279</v>
      </c>
      <c r="C45" s="1">
        <v>3092617498</v>
      </c>
      <c r="D45" s="31" t="s">
        <v>278</v>
      </c>
      <c r="E45" s="19">
        <v>42.875</v>
      </c>
      <c r="F45" s="12">
        <f t="shared" si="0"/>
        <v>42.875</v>
      </c>
      <c r="G45" s="19"/>
      <c r="H45" s="12"/>
      <c r="I45" s="19">
        <v>42.875</v>
      </c>
      <c r="J45" s="12"/>
    </row>
    <row r="46" spans="1:10" ht="75.75" customHeight="1">
      <c r="A46" s="11" t="s">
        <v>263</v>
      </c>
      <c r="B46" s="11" t="s">
        <v>131</v>
      </c>
      <c r="C46" s="1">
        <v>2819313730</v>
      </c>
      <c r="D46" s="31" t="s">
        <v>262</v>
      </c>
      <c r="E46" s="19">
        <v>0.59</v>
      </c>
      <c r="F46" s="12">
        <f t="shared" si="0"/>
        <v>0.59</v>
      </c>
      <c r="G46" s="19"/>
      <c r="H46" s="12">
        <v>0.59</v>
      </c>
      <c r="I46" s="19"/>
      <c r="J46" s="12"/>
    </row>
    <row r="47" spans="1:10" ht="75.75" customHeight="1">
      <c r="A47" s="11" t="s">
        <v>280</v>
      </c>
      <c r="B47" s="11" t="s">
        <v>24</v>
      </c>
      <c r="C47" s="1">
        <v>2587702593</v>
      </c>
      <c r="D47" s="31" t="s">
        <v>281</v>
      </c>
      <c r="E47" s="19">
        <v>1.65</v>
      </c>
      <c r="F47" s="12">
        <f t="shared" si="0"/>
        <v>1.65</v>
      </c>
      <c r="G47" s="19"/>
      <c r="H47" s="12"/>
      <c r="I47" s="19">
        <v>1.65</v>
      </c>
      <c r="J47" s="12"/>
    </row>
    <row r="48" spans="1:10" ht="75.75" customHeight="1">
      <c r="A48" s="11" t="s">
        <v>282</v>
      </c>
      <c r="B48" s="11" t="s">
        <v>284</v>
      </c>
      <c r="C48" s="1">
        <v>32297434</v>
      </c>
      <c r="D48" s="31" t="s">
        <v>283</v>
      </c>
      <c r="E48" s="19">
        <v>24.44545</v>
      </c>
      <c r="F48" s="12">
        <f t="shared" si="0"/>
        <v>24.44545</v>
      </c>
      <c r="G48" s="19"/>
      <c r="H48" s="12"/>
      <c r="I48" s="19">
        <v>24.44545</v>
      </c>
      <c r="J48" s="12"/>
    </row>
    <row r="49" spans="1:10" ht="93.75">
      <c r="A49" s="11" t="s">
        <v>54</v>
      </c>
      <c r="B49" s="11" t="s">
        <v>55</v>
      </c>
      <c r="C49" s="1">
        <v>38839332</v>
      </c>
      <c r="D49" s="5" t="s">
        <v>56</v>
      </c>
      <c r="E49" s="12">
        <v>6.8796</v>
      </c>
      <c r="F49" s="12">
        <f t="shared" si="0"/>
        <v>6.8796</v>
      </c>
      <c r="G49" s="19">
        <v>6.8796</v>
      </c>
      <c r="H49" s="12"/>
      <c r="I49" s="19"/>
      <c r="J49" s="12"/>
    </row>
    <row r="50" spans="1:10" ht="114" customHeight="1">
      <c r="A50" s="11" t="s">
        <v>230</v>
      </c>
      <c r="B50" s="11" t="s">
        <v>229</v>
      </c>
      <c r="C50" s="1">
        <v>33096978</v>
      </c>
      <c r="D50" s="18" t="s">
        <v>227</v>
      </c>
      <c r="E50" s="12">
        <v>12.3147</v>
      </c>
      <c r="F50" s="12">
        <f t="shared" si="0"/>
        <v>12.3147</v>
      </c>
      <c r="G50" s="19"/>
      <c r="H50" s="12">
        <v>12.3147</v>
      </c>
      <c r="I50" s="19"/>
      <c r="J50" s="12"/>
    </row>
    <row r="51" spans="1:10" ht="56.25">
      <c r="A51" s="11" t="s">
        <v>231</v>
      </c>
      <c r="B51" s="11" t="s">
        <v>229</v>
      </c>
      <c r="C51" s="1">
        <v>33096978</v>
      </c>
      <c r="D51" s="18" t="s">
        <v>228</v>
      </c>
      <c r="E51" s="12">
        <v>11.9952</v>
      </c>
      <c r="F51" s="12">
        <f t="shared" si="0"/>
        <v>11.9952</v>
      </c>
      <c r="G51" s="19"/>
      <c r="H51" s="12">
        <v>11.9952</v>
      </c>
      <c r="I51" s="19"/>
      <c r="J51" s="12"/>
    </row>
    <row r="52" spans="1:10" ht="56.25">
      <c r="A52" s="11" t="s">
        <v>212</v>
      </c>
      <c r="B52" s="11" t="s">
        <v>213</v>
      </c>
      <c r="C52" s="1">
        <v>20509800</v>
      </c>
      <c r="D52" s="5" t="s">
        <v>214</v>
      </c>
      <c r="E52" s="12">
        <f>0.65617+2.51904</f>
        <v>3.17521</v>
      </c>
      <c r="F52" s="12">
        <f t="shared" si="0"/>
        <v>3.17521</v>
      </c>
      <c r="G52" s="19">
        <v>0.65617</v>
      </c>
      <c r="H52" s="12">
        <v>2.51904</v>
      </c>
      <c r="I52" s="19"/>
      <c r="J52" s="12"/>
    </row>
    <row r="53" spans="1:10" ht="56.25">
      <c r="A53" s="11" t="s">
        <v>92</v>
      </c>
      <c r="B53" s="11" t="s">
        <v>93</v>
      </c>
      <c r="C53" s="28" t="s">
        <v>94</v>
      </c>
      <c r="D53" s="5" t="s">
        <v>95</v>
      </c>
      <c r="E53" s="12">
        <v>1.32192</v>
      </c>
      <c r="F53" s="12">
        <f t="shared" si="0"/>
        <v>1.32192</v>
      </c>
      <c r="G53" s="19">
        <f>0.44064+0.88128</f>
        <v>1.32192</v>
      </c>
      <c r="H53" s="12"/>
      <c r="I53" s="19"/>
      <c r="J53" s="12"/>
    </row>
    <row r="54" spans="1:10" ht="93.75">
      <c r="A54" s="11" t="s">
        <v>232</v>
      </c>
      <c r="B54" s="11" t="s">
        <v>27</v>
      </c>
      <c r="C54" s="1" t="s">
        <v>233</v>
      </c>
      <c r="D54" s="5" t="s">
        <v>234</v>
      </c>
      <c r="E54" s="19" t="s">
        <v>235</v>
      </c>
      <c r="F54" s="12">
        <f t="shared" si="0"/>
        <v>38.25245</v>
      </c>
      <c r="G54" s="19"/>
      <c r="H54" s="12">
        <v>38.25245</v>
      </c>
      <c r="I54" s="19"/>
      <c r="J54" s="12"/>
    </row>
    <row r="55" spans="1:10" s="2" customFormat="1" ht="18.75">
      <c r="A55" s="39" t="s">
        <v>14</v>
      </c>
      <c r="B55" s="39"/>
      <c r="C55" s="39"/>
      <c r="D55" s="39"/>
      <c r="E55" s="13">
        <f aca="true" t="shared" si="1" ref="E55:J55">SUM(E11:E54)</f>
        <v>498.9850199999998</v>
      </c>
      <c r="F55" s="13">
        <f t="shared" si="1"/>
        <v>481.6537099999999</v>
      </c>
      <c r="G55" s="13">
        <f t="shared" si="1"/>
        <v>135.69365</v>
      </c>
      <c r="H55" s="13">
        <f t="shared" si="1"/>
        <v>87.11739</v>
      </c>
      <c r="I55" s="13">
        <f t="shared" si="1"/>
        <v>258.84267</v>
      </c>
      <c r="J55" s="13">
        <f t="shared" si="1"/>
        <v>0</v>
      </c>
    </row>
    <row r="56" spans="1:10" s="2" customFormat="1" ht="18.75">
      <c r="A56" s="39" t="s">
        <v>96</v>
      </c>
      <c r="B56" s="39"/>
      <c r="C56" s="39"/>
      <c r="D56" s="39"/>
      <c r="E56" s="39"/>
      <c r="F56" s="39"/>
      <c r="G56" s="39"/>
      <c r="H56" s="39"/>
      <c r="I56" s="39"/>
      <c r="J56" s="39"/>
    </row>
    <row r="57" spans="1:10" s="2" customFormat="1" ht="75">
      <c r="A57" s="11" t="s">
        <v>99</v>
      </c>
      <c r="B57" s="14" t="s">
        <v>97</v>
      </c>
      <c r="C57" s="1">
        <v>31816235</v>
      </c>
      <c r="D57" s="5" t="s">
        <v>98</v>
      </c>
      <c r="E57" s="12">
        <v>756.5</v>
      </c>
      <c r="F57" s="12">
        <f>SUM(G57:J57)</f>
        <v>167.46893</v>
      </c>
      <c r="G57" s="19">
        <f>40.86761+88.3375+38.26382</f>
        <v>167.46893</v>
      </c>
      <c r="H57" s="12"/>
      <c r="I57" s="19"/>
      <c r="J57" s="12"/>
    </row>
    <row r="58" spans="1:10" s="2" customFormat="1" ht="75">
      <c r="A58" s="11" t="s">
        <v>144</v>
      </c>
      <c r="B58" s="5" t="s">
        <v>146</v>
      </c>
      <c r="C58" s="1">
        <v>39190161</v>
      </c>
      <c r="D58" s="5" t="s">
        <v>145</v>
      </c>
      <c r="E58" s="12">
        <v>20.14786</v>
      </c>
      <c r="F58" s="12">
        <f>SUM(G58:J58)</f>
        <v>20.14786</v>
      </c>
      <c r="G58" s="19"/>
      <c r="H58" s="12"/>
      <c r="I58" s="19">
        <v>20.14786</v>
      </c>
      <c r="J58" s="13"/>
    </row>
    <row r="59" spans="1:10" s="2" customFormat="1" ht="116.25" customHeight="1">
      <c r="A59" s="11" t="s">
        <v>247</v>
      </c>
      <c r="B59" s="37" t="s">
        <v>246</v>
      </c>
      <c r="C59" s="1">
        <v>2684220493</v>
      </c>
      <c r="D59" s="38" t="s">
        <v>245</v>
      </c>
      <c r="E59" s="12">
        <v>15.02008</v>
      </c>
      <c r="F59" s="12">
        <f>SUM(G59:J59)</f>
        <v>15.02008</v>
      </c>
      <c r="G59" s="19">
        <v>15.02008</v>
      </c>
      <c r="H59" s="12"/>
      <c r="I59" s="19"/>
      <c r="J59" s="13"/>
    </row>
    <row r="60" spans="1:10" s="2" customFormat="1" ht="93.75">
      <c r="A60" s="11" t="s">
        <v>232</v>
      </c>
      <c r="B60" s="33" t="s">
        <v>236</v>
      </c>
      <c r="C60" s="36">
        <v>19282260</v>
      </c>
      <c r="D60" s="34" t="s">
        <v>237</v>
      </c>
      <c r="E60" s="12" t="s">
        <v>235</v>
      </c>
      <c r="F60" s="12">
        <f>SUM(G60:J60)</f>
        <v>1.9329900000000002</v>
      </c>
      <c r="G60" s="19"/>
      <c r="H60" s="12"/>
      <c r="I60" s="19">
        <f>0.77612+1.15687</f>
        <v>1.9329900000000002</v>
      </c>
      <c r="J60" s="13"/>
    </row>
    <row r="61" spans="1:10" s="2" customFormat="1" ht="18.75">
      <c r="A61" s="39" t="s">
        <v>177</v>
      </c>
      <c r="B61" s="39"/>
      <c r="C61" s="39"/>
      <c r="D61" s="39"/>
      <c r="E61" s="30">
        <f aca="true" t="shared" si="2" ref="E61:J61">SUM(E57:E60)</f>
        <v>791.66794</v>
      </c>
      <c r="F61" s="30">
        <f t="shared" si="2"/>
        <v>204.56986</v>
      </c>
      <c r="G61" s="30">
        <f t="shared" si="2"/>
        <v>182.48901</v>
      </c>
      <c r="H61" s="30">
        <f t="shared" si="2"/>
        <v>0</v>
      </c>
      <c r="I61" s="30">
        <f t="shared" si="2"/>
        <v>22.08085</v>
      </c>
      <c r="J61" s="30">
        <f t="shared" si="2"/>
        <v>0</v>
      </c>
    </row>
    <row r="62" spans="1:10" ht="18.75">
      <c r="A62" s="39" t="s">
        <v>12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12.5">
      <c r="A63" s="11" t="s">
        <v>59</v>
      </c>
      <c r="B63" s="11" t="s">
        <v>57</v>
      </c>
      <c r="C63" s="1">
        <v>30481856</v>
      </c>
      <c r="D63" s="18" t="s">
        <v>33</v>
      </c>
      <c r="E63" s="23">
        <v>736.57</v>
      </c>
      <c r="F63" s="12">
        <f aca="true" t="shared" si="3" ref="F63:F93">SUM(G63:J63)</f>
        <v>252.10528</v>
      </c>
      <c r="G63" s="19">
        <f>23.63088+6.49686+47.34196</f>
        <v>77.4697</v>
      </c>
      <c r="H63" s="12"/>
      <c r="I63" s="19">
        <f>40.66581-3.93848+60.44028+60.37173+17.09624</f>
        <v>174.63557999999998</v>
      </c>
      <c r="J63" s="12"/>
    </row>
    <row r="64" spans="1:10" ht="93.75">
      <c r="A64" s="11" t="s">
        <v>58</v>
      </c>
      <c r="B64" s="11" t="s">
        <v>60</v>
      </c>
      <c r="C64" s="1">
        <v>34407781</v>
      </c>
      <c r="D64" s="18" t="s">
        <v>31</v>
      </c>
      <c r="E64" s="23">
        <v>289.0004</v>
      </c>
      <c r="F64" s="12">
        <f t="shared" si="3"/>
        <v>13.62726</v>
      </c>
      <c r="G64" s="19">
        <v>6.81363</v>
      </c>
      <c r="H64" s="12"/>
      <c r="I64" s="19">
        <v>6.81363</v>
      </c>
      <c r="J64" s="12"/>
    </row>
    <row r="65" spans="1:10" ht="56.25">
      <c r="A65" s="11" t="s">
        <v>119</v>
      </c>
      <c r="B65" s="11" t="s">
        <v>77</v>
      </c>
      <c r="C65" s="1">
        <v>2808320048</v>
      </c>
      <c r="D65" s="18" t="s">
        <v>120</v>
      </c>
      <c r="E65" s="23">
        <v>12.8205</v>
      </c>
      <c r="F65" s="12">
        <f t="shared" si="3"/>
        <v>3.2634</v>
      </c>
      <c r="G65" s="19">
        <f>0.6993+1.3986</f>
        <v>2.0979</v>
      </c>
      <c r="H65" s="12"/>
      <c r="I65" s="19">
        <f>0.6993+0.4662</f>
        <v>1.1655</v>
      </c>
      <c r="J65" s="12"/>
    </row>
    <row r="66" spans="1:10" ht="75">
      <c r="A66" s="11" t="s">
        <v>199</v>
      </c>
      <c r="B66" s="11" t="s">
        <v>60</v>
      </c>
      <c r="C66" s="1">
        <v>34407781</v>
      </c>
      <c r="D66" s="18" t="s">
        <v>200</v>
      </c>
      <c r="E66" s="23">
        <v>136.75</v>
      </c>
      <c r="F66" s="12">
        <f t="shared" si="3"/>
        <v>43.752</v>
      </c>
      <c r="G66" s="19"/>
      <c r="H66" s="12"/>
      <c r="I66" s="19">
        <v>43.752</v>
      </c>
      <c r="J66" s="12"/>
    </row>
    <row r="67" spans="1:10" ht="93.75">
      <c r="A67" s="11" t="s">
        <v>114</v>
      </c>
      <c r="B67" s="11" t="s">
        <v>115</v>
      </c>
      <c r="C67" s="1">
        <v>2194012568</v>
      </c>
      <c r="D67" s="18" t="s">
        <v>113</v>
      </c>
      <c r="E67" s="23">
        <v>106.999</v>
      </c>
      <c r="F67" s="12">
        <f t="shared" si="3"/>
        <v>46.481390000000005</v>
      </c>
      <c r="G67" s="19">
        <f>11.5071+12.98274</f>
        <v>24.48984</v>
      </c>
      <c r="H67" s="12"/>
      <c r="I67" s="19">
        <f>12.20423+9.78732</f>
        <v>21.99155</v>
      </c>
      <c r="J67" s="12"/>
    </row>
    <row r="68" spans="1:10" ht="117" customHeight="1">
      <c r="A68" s="11" t="s">
        <v>63</v>
      </c>
      <c r="B68" s="11" t="s">
        <v>60</v>
      </c>
      <c r="C68" s="1">
        <v>34407781</v>
      </c>
      <c r="D68" s="18" t="s">
        <v>64</v>
      </c>
      <c r="E68" s="23">
        <v>72.54</v>
      </c>
      <c r="F68" s="12">
        <f t="shared" si="3"/>
        <v>17.31756</v>
      </c>
      <c r="G68" s="19">
        <f>7.95648</f>
        <v>7.95648</v>
      </c>
      <c r="H68" s="12"/>
      <c r="I68" s="19">
        <f>2.739+3.79248+2.8296</f>
        <v>9.361080000000001</v>
      </c>
      <c r="J68" s="12"/>
    </row>
    <row r="69" spans="1:10" ht="80.25" customHeight="1">
      <c r="A69" s="11" t="s">
        <v>147</v>
      </c>
      <c r="B69" s="11" t="s">
        <v>60</v>
      </c>
      <c r="C69" s="1">
        <v>34407781</v>
      </c>
      <c r="D69" s="18" t="s">
        <v>148</v>
      </c>
      <c r="E69" s="23">
        <v>110.76</v>
      </c>
      <c r="F69" s="12">
        <f t="shared" si="3"/>
        <v>31.123880000000003</v>
      </c>
      <c r="G69" s="19">
        <f>3.01392+11.52124</f>
        <v>14.535160000000001</v>
      </c>
      <c r="H69" s="12"/>
      <c r="I69" s="19">
        <f>10.05052+6.5382</f>
        <v>16.588720000000002</v>
      </c>
      <c r="J69" s="12"/>
    </row>
    <row r="70" spans="1:10" ht="75">
      <c r="A70" s="11" t="s">
        <v>61</v>
      </c>
      <c r="B70" s="11" t="s">
        <v>60</v>
      </c>
      <c r="C70" s="1">
        <v>34407781</v>
      </c>
      <c r="D70" s="18" t="s">
        <v>62</v>
      </c>
      <c r="E70" s="23">
        <v>262.8</v>
      </c>
      <c r="F70" s="12">
        <f t="shared" si="3"/>
        <v>5.7816</v>
      </c>
      <c r="G70" s="19">
        <v>5.7816</v>
      </c>
      <c r="H70" s="12"/>
      <c r="I70" s="19"/>
      <c r="J70" s="12"/>
    </row>
    <row r="71" spans="1:10" ht="117" customHeight="1">
      <c r="A71" s="11" t="s">
        <v>65</v>
      </c>
      <c r="B71" s="11" t="s">
        <v>60</v>
      </c>
      <c r="C71" s="1">
        <v>34407781</v>
      </c>
      <c r="D71" s="18" t="s">
        <v>66</v>
      </c>
      <c r="E71" s="23">
        <v>389.034</v>
      </c>
      <c r="F71" s="12">
        <f t="shared" si="3"/>
        <v>117.97624</v>
      </c>
      <c r="G71" s="19">
        <f>13.99108+33.2979</f>
        <v>47.288979999999995</v>
      </c>
      <c r="H71" s="12"/>
      <c r="I71" s="19">
        <f>4.8735+33.31383+32.49993</f>
        <v>70.68726000000001</v>
      </c>
      <c r="J71" s="12"/>
    </row>
    <row r="72" spans="1:10" ht="80.25" customHeight="1">
      <c r="A72" s="11" t="s">
        <v>149</v>
      </c>
      <c r="B72" s="11" t="s">
        <v>150</v>
      </c>
      <c r="C72" s="1">
        <v>41674955</v>
      </c>
      <c r="D72" s="18" t="s">
        <v>151</v>
      </c>
      <c r="E72" s="23">
        <v>68.3</v>
      </c>
      <c r="F72" s="12">
        <f t="shared" si="3"/>
        <v>58.2884</v>
      </c>
      <c r="G72" s="19">
        <f>14.0404</f>
        <v>14.0404</v>
      </c>
      <c r="H72" s="12"/>
      <c r="I72" s="19">
        <f>25.297+18.951</f>
        <v>44.248000000000005</v>
      </c>
      <c r="J72" s="12"/>
    </row>
    <row r="73" spans="1:10" ht="75">
      <c r="A73" s="11" t="s">
        <v>67</v>
      </c>
      <c r="B73" s="11" t="s">
        <v>68</v>
      </c>
      <c r="C73" s="1">
        <v>38197742</v>
      </c>
      <c r="D73" s="5" t="s">
        <v>32</v>
      </c>
      <c r="E73" s="12">
        <v>38.6716</v>
      </c>
      <c r="F73" s="12">
        <f t="shared" si="3"/>
        <v>27.5614</v>
      </c>
      <c r="G73" s="19">
        <f>6.032+7.6104</f>
        <v>13.6424</v>
      </c>
      <c r="H73" s="12"/>
      <c r="I73" s="19">
        <f>5.5925+8.3265</f>
        <v>13.919</v>
      </c>
      <c r="J73" s="12"/>
    </row>
    <row r="74" spans="1:10" ht="75">
      <c r="A74" s="11" t="s">
        <v>69</v>
      </c>
      <c r="B74" s="11" t="s">
        <v>71</v>
      </c>
      <c r="C74" s="1">
        <v>41033603</v>
      </c>
      <c r="D74" s="5" t="s">
        <v>70</v>
      </c>
      <c r="E74" s="26">
        <v>354.8322</v>
      </c>
      <c r="F74" s="12">
        <f t="shared" si="3"/>
        <v>19.328149999999997</v>
      </c>
      <c r="G74" s="19">
        <f>3.185</f>
        <v>3.185</v>
      </c>
      <c r="H74" s="12"/>
      <c r="I74" s="19">
        <f>11.57495+4.5682</f>
        <v>16.14315</v>
      </c>
      <c r="J74" s="12"/>
    </row>
    <row r="75" spans="1:10" ht="78" customHeight="1">
      <c r="A75" s="11" t="s">
        <v>201</v>
      </c>
      <c r="B75" s="11" t="s">
        <v>74</v>
      </c>
      <c r="C75" s="1">
        <v>42498344</v>
      </c>
      <c r="D75" s="5" t="s">
        <v>202</v>
      </c>
      <c r="E75" s="26">
        <v>30.29</v>
      </c>
      <c r="F75" s="12">
        <f t="shared" si="3"/>
        <v>4.98</v>
      </c>
      <c r="G75" s="19"/>
      <c r="H75" s="12"/>
      <c r="I75" s="19">
        <f>4.98</f>
        <v>4.98</v>
      </c>
      <c r="J75" s="12"/>
    </row>
    <row r="76" spans="1:10" ht="75">
      <c r="A76" s="11" t="s">
        <v>152</v>
      </c>
      <c r="B76" s="11" t="s">
        <v>74</v>
      </c>
      <c r="C76" s="1">
        <v>42498344</v>
      </c>
      <c r="D76" s="5" t="s">
        <v>153</v>
      </c>
      <c r="E76" s="26">
        <v>22.38</v>
      </c>
      <c r="F76" s="12">
        <f t="shared" si="3"/>
        <v>16.785</v>
      </c>
      <c r="G76" s="19">
        <f>5.595</f>
        <v>5.595</v>
      </c>
      <c r="H76" s="12"/>
      <c r="I76" s="19">
        <f>5.595+5.595</f>
        <v>11.19</v>
      </c>
      <c r="J76" s="12"/>
    </row>
    <row r="77" spans="1:10" ht="75">
      <c r="A77" s="11" t="s">
        <v>72</v>
      </c>
      <c r="B77" s="11" t="s">
        <v>74</v>
      </c>
      <c r="C77" s="1">
        <v>42498344</v>
      </c>
      <c r="D77" s="5" t="s">
        <v>73</v>
      </c>
      <c r="E77" s="12">
        <v>26.619</v>
      </c>
      <c r="F77" s="12">
        <f t="shared" si="3"/>
        <v>26.619</v>
      </c>
      <c r="G77" s="19">
        <v>26.619</v>
      </c>
      <c r="H77" s="12"/>
      <c r="I77" s="19"/>
      <c r="J77" s="12"/>
    </row>
    <row r="78" spans="1:10" ht="93.75">
      <c r="A78" s="11" t="s">
        <v>75</v>
      </c>
      <c r="B78" s="11" t="s">
        <v>77</v>
      </c>
      <c r="C78" s="1">
        <v>2808320048</v>
      </c>
      <c r="D78" s="5" t="s">
        <v>76</v>
      </c>
      <c r="E78" s="12">
        <v>18.72</v>
      </c>
      <c r="F78" s="12">
        <f t="shared" si="3"/>
        <v>18.72</v>
      </c>
      <c r="G78" s="19">
        <f>2.16+3.6</f>
        <v>5.76</v>
      </c>
      <c r="H78" s="12"/>
      <c r="I78" s="19">
        <f>4.32+4.32+3.6+0.72</f>
        <v>12.96</v>
      </c>
      <c r="J78" s="12"/>
    </row>
    <row r="79" spans="1:10" ht="75">
      <c r="A79" s="11" t="s">
        <v>154</v>
      </c>
      <c r="B79" s="11" t="s">
        <v>155</v>
      </c>
      <c r="C79" s="1">
        <v>2251605227</v>
      </c>
      <c r="D79" s="5" t="s">
        <v>156</v>
      </c>
      <c r="E79" s="12">
        <v>3.96</v>
      </c>
      <c r="F79" s="12">
        <f t="shared" si="3"/>
        <v>3.96</v>
      </c>
      <c r="G79" s="19"/>
      <c r="H79" s="12"/>
      <c r="I79" s="19">
        <v>3.96</v>
      </c>
      <c r="J79" s="12"/>
    </row>
    <row r="80" spans="1:10" ht="75">
      <c r="A80" s="11" t="s">
        <v>157</v>
      </c>
      <c r="B80" s="11" t="s">
        <v>158</v>
      </c>
      <c r="C80" s="1">
        <v>37408070</v>
      </c>
      <c r="D80" s="5" t="s">
        <v>159</v>
      </c>
      <c r="E80" s="12">
        <v>286.812</v>
      </c>
      <c r="F80" s="12">
        <f t="shared" si="3"/>
        <v>63.282</v>
      </c>
      <c r="G80" s="19">
        <f>23.4984</f>
        <v>23.4984</v>
      </c>
      <c r="H80" s="12"/>
      <c r="I80" s="19">
        <f>18.504+21.2796</f>
        <v>39.7836</v>
      </c>
      <c r="J80" s="12"/>
    </row>
    <row r="81" spans="1:10" ht="115.5" customHeight="1">
      <c r="A81" s="11" t="s">
        <v>160</v>
      </c>
      <c r="B81" s="11" t="s">
        <v>162</v>
      </c>
      <c r="C81" s="1">
        <v>37521072</v>
      </c>
      <c r="D81" s="5" t="s">
        <v>161</v>
      </c>
      <c r="E81" s="12">
        <v>42.1245</v>
      </c>
      <c r="F81" s="12">
        <f t="shared" si="3"/>
        <v>42.1245</v>
      </c>
      <c r="G81" s="19"/>
      <c r="H81" s="12"/>
      <c r="I81" s="19">
        <v>42.1245</v>
      </c>
      <c r="J81" s="12"/>
    </row>
    <row r="82" spans="1:10" ht="60.75" customHeight="1">
      <c r="A82" s="11" t="s">
        <v>163</v>
      </c>
      <c r="B82" s="11" t="s">
        <v>77</v>
      </c>
      <c r="C82" s="1">
        <v>2808320048</v>
      </c>
      <c r="D82" s="5" t="s">
        <v>164</v>
      </c>
      <c r="E82" s="12">
        <v>59.2</v>
      </c>
      <c r="F82" s="12">
        <f t="shared" si="3"/>
        <v>13.020299999999999</v>
      </c>
      <c r="G82" s="19">
        <f>1.8648+5.5944</f>
        <v>7.4592</v>
      </c>
      <c r="H82" s="12"/>
      <c r="I82" s="19">
        <f>1.8315+3.7296</f>
        <v>5.5611</v>
      </c>
      <c r="J82" s="12"/>
    </row>
    <row r="83" spans="1:10" ht="92.25" customHeight="1">
      <c r="A83" s="11" t="s">
        <v>166</v>
      </c>
      <c r="B83" s="11" t="s">
        <v>165</v>
      </c>
      <c r="C83" s="1">
        <v>38993915</v>
      </c>
      <c r="D83" s="5" t="s">
        <v>167</v>
      </c>
      <c r="E83" s="12">
        <v>270.96</v>
      </c>
      <c r="F83" s="12">
        <f t="shared" si="3"/>
        <v>67.44966</v>
      </c>
      <c r="G83" s="19">
        <f>20.45886</f>
        <v>20.45886</v>
      </c>
      <c r="H83" s="12"/>
      <c r="I83" s="19">
        <f>11.74974+29.78144+5.45962</f>
        <v>46.9908</v>
      </c>
      <c r="J83" s="12"/>
    </row>
    <row r="84" spans="1:10" ht="93" customHeight="1">
      <c r="A84" s="11" t="s">
        <v>187</v>
      </c>
      <c r="B84" s="11" t="s">
        <v>165</v>
      </c>
      <c r="C84" s="1">
        <v>38993915</v>
      </c>
      <c r="D84" s="5" t="s">
        <v>62</v>
      </c>
      <c r="E84" s="12">
        <v>237.6</v>
      </c>
      <c r="F84" s="12">
        <f t="shared" si="3"/>
        <v>36.234</v>
      </c>
      <c r="G84" s="19">
        <f>19.305</f>
        <v>19.305</v>
      </c>
      <c r="H84" s="12"/>
      <c r="I84" s="19">
        <f>13.365+3.564</f>
        <v>16.929000000000002</v>
      </c>
      <c r="J84" s="12"/>
    </row>
    <row r="85" spans="1:10" ht="97.5" customHeight="1">
      <c r="A85" s="11" t="s">
        <v>168</v>
      </c>
      <c r="B85" s="11" t="s">
        <v>170</v>
      </c>
      <c r="C85" s="1">
        <v>2543616535</v>
      </c>
      <c r="D85" s="5" t="s">
        <v>169</v>
      </c>
      <c r="E85" s="12">
        <v>26.7665</v>
      </c>
      <c r="F85" s="12">
        <f t="shared" si="3"/>
        <v>26.7665</v>
      </c>
      <c r="G85" s="19"/>
      <c r="H85" s="12"/>
      <c r="I85" s="19">
        <v>26.7665</v>
      </c>
      <c r="J85" s="12"/>
    </row>
    <row r="86" spans="1:10" ht="59.25" customHeight="1">
      <c r="A86" s="11" t="s">
        <v>204</v>
      </c>
      <c r="B86" s="11" t="s">
        <v>203</v>
      </c>
      <c r="C86" s="1">
        <v>3414807739</v>
      </c>
      <c r="D86" s="18" t="s">
        <v>206</v>
      </c>
      <c r="E86" s="12">
        <v>82.56</v>
      </c>
      <c r="F86" s="12">
        <f t="shared" si="3"/>
        <v>46.491</v>
      </c>
      <c r="G86" s="19">
        <v>2.9</v>
      </c>
      <c r="H86" s="12"/>
      <c r="I86" s="19">
        <f>43.591</f>
        <v>43.591</v>
      </c>
      <c r="J86" s="12"/>
    </row>
    <row r="87" spans="1:10" ht="76.5" customHeight="1">
      <c r="A87" s="11" t="s">
        <v>205</v>
      </c>
      <c r="B87" s="11" t="s">
        <v>203</v>
      </c>
      <c r="C87" s="1">
        <v>3414807739</v>
      </c>
      <c r="D87" s="35" t="s">
        <v>207</v>
      </c>
      <c r="E87" s="12">
        <v>92.35</v>
      </c>
      <c r="F87" s="12">
        <f t="shared" si="3"/>
        <v>47.3765</v>
      </c>
      <c r="G87" s="19">
        <f>13.25+5.8</f>
        <v>19.05</v>
      </c>
      <c r="H87" s="12"/>
      <c r="I87" s="19">
        <f>20.5+7.8265</f>
        <v>28.3265</v>
      </c>
      <c r="J87" s="12"/>
    </row>
    <row r="88" spans="1:10" ht="85.5" customHeight="1">
      <c r="A88" s="11" t="s">
        <v>197</v>
      </c>
      <c r="B88" s="11" t="s">
        <v>71</v>
      </c>
      <c r="C88" s="1">
        <v>41033603</v>
      </c>
      <c r="D88" s="5" t="s">
        <v>198</v>
      </c>
      <c r="E88" s="12">
        <v>478.5</v>
      </c>
      <c r="F88" s="12">
        <f t="shared" si="3"/>
        <v>77.84100000000001</v>
      </c>
      <c r="G88" s="19">
        <f>41.85</f>
        <v>41.85</v>
      </c>
      <c r="H88" s="12"/>
      <c r="I88" s="19">
        <f>35.991</f>
        <v>35.991</v>
      </c>
      <c r="J88" s="12"/>
    </row>
    <row r="89" spans="1:10" ht="115.5" customHeight="1">
      <c r="A89" s="11" t="s">
        <v>208</v>
      </c>
      <c r="B89" s="11" t="s">
        <v>170</v>
      </c>
      <c r="C89" s="1">
        <v>2543616535</v>
      </c>
      <c r="D89" s="5" t="s">
        <v>209</v>
      </c>
      <c r="E89" s="12">
        <v>22.931</v>
      </c>
      <c r="F89" s="12">
        <f t="shared" si="3"/>
        <v>11.4655</v>
      </c>
      <c r="G89" s="19"/>
      <c r="H89" s="12"/>
      <c r="I89" s="19">
        <f>11.4655</f>
        <v>11.4655</v>
      </c>
      <c r="J89" s="12"/>
    </row>
    <row r="90" spans="1:10" ht="115.5" customHeight="1">
      <c r="A90" s="11" t="s">
        <v>249</v>
      </c>
      <c r="B90" s="11" t="s">
        <v>77</v>
      </c>
      <c r="C90" s="1">
        <v>2808320048</v>
      </c>
      <c r="D90" s="5" t="s">
        <v>248</v>
      </c>
      <c r="E90" s="12">
        <v>54.9</v>
      </c>
      <c r="F90" s="12">
        <f t="shared" si="3"/>
        <v>9.76</v>
      </c>
      <c r="G90" s="19">
        <f>9.76</f>
        <v>9.76</v>
      </c>
      <c r="H90" s="12"/>
      <c r="I90" s="19"/>
      <c r="J90" s="12"/>
    </row>
    <row r="91" spans="1:10" ht="115.5" customHeight="1">
      <c r="A91" s="11" t="s">
        <v>251</v>
      </c>
      <c r="B91" s="11" t="s">
        <v>68</v>
      </c>
      <c r="C91" s="1">
        <v>38197742</v>
      </c>
      <c r="D91" s="5" t="s">
        <v>250</v>
      </c>
      <c r="E91" s="12">
        <v>71</v>
      </c>
      <c r="F91" s="12">
        <f t="shared" si="3"/>
        <v>11.7</v>
      </c>
      <c r="G91" s="19">
        <v>11.7</v>
      </c>
      <c r="H91" s="12"/>
      <c r="I91" s="19"/>
      <c r="J91" s="12"/>
    </row>
    <row r="92" spans="1:10" ht="134.25" customHeight="1">
      <c r="A92" s="11" t="s">
        <v>253</v>
      </c>
      <c r="B92" s="11" t="s">
        <v>115</v>
      </c>
      <c r="C92" s="1">
        <v>2194012568</v>
      </c>
      <c r="D92" s="5" t="s">
        <v>252</v>
      </c>
      <c r="E92" s="12">
        <v>379.5</v>
      </c>
      <c r="F92" s="12">
        <f t="shared" si="3"/>
        <v>72.5238</v>
      </c>
      <c r="G92" s="19">
        <v>72.5238</v>
      </c>
      <c r="H92" s="12"/>
      <c r="I92" s="19"/>
      <c r="J92" s="12"/>
    </row>
    <row r="93" spans="1:10" ht="91.5" customHeight="1">
      <c r="A93" s="11" t="s">
        <v>232</v>
      </c>
      <c r="B93" s="11" t="s">
        <v>27</v>
      </c>
      <c r="C93" s="1" t="s">
        <v>233</v>
      </c>
      <c r="D93" s="5" t="s">
        <v>234</v>
      </c>
      <c r="E93" s="19" t="s">
        <v>235</v>
      </c>
      <c r="F93" s="12">
        <f t="shared" si="3"/>
        <v>168.1049</v>
      </c>
      <c r="G93" s="19"/>
      <c r="H93" s="12">
        <v>168.1049</v>
      </c>
      <c r="I93" s="19"/>
      <c r="J93" s="12"/>
    </row>
    <row r="94" spans="1:10" s="2" customFormat="1" ht="18.75">
      <c r="A94" s="39" t="s">
        <v>15</v>
      </c>
      <c r="B94" s="39"/>
      <c r="C94" s="39"/>
      <c r="D94" s="39"/>
      <c r="E94" s="13">
        <f aca="true" t="shared" si="4" ref="E94:J94">SUM(E63:E93)</f>
        <v>4786.2507</v>
      </c>
      <c r="F94" s="13">
        <f t="shared" si="4"/>
        <v>1401.8102200000003</v>
      </c>
      <c r="G94" s="13">
        <f t="shared" si="4"/>
        <v>483.78035</v>
      </c>
      <c r="H94" s="13">
        <f t="shared" si="4"/>
        <v>168.1049</v>
      </c>
      <c r="I94" s="13">
        <f t="shared" si="4"/>
        <v>749.9249699999999</v>
      </c>
      <c r="J94" s="13">
        <f t="shared" si="4"/>
        <v>0</v>
      </c>
    </row>
    <row r="95" spans="1:10" ht="18.75">
      <c r="A95" s="39" t="s">
        <v>13</v>
      </c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68.75">
      <c r="A96" s="5" t="s">
        <v>78</v>
      </c>
      <c r="B96" s="11" t="s">
        <v>36</v>
      </c>
      <c r="C96" s="1">
        <v>2811012290</v>
      </c>
      <c r="D96" s="27" t="s">
        <v>79</v>
      </c>
      <c r="E96" s="19">
        <f>4.766+16.905+8.105</f>
        <v>29.776</v>
      </c>
      <c r="F96" s="12">
        <f aca="true" t="shared" si="5" ref="F96:F112">SUM(G96:J96)</f>
        <v>29.776000000000003</v>
      </c>
      <c r="G96" s="19">
        <v>4.766</v>
      </c>
      <c r="H96" s="5">
        <f>16.905+8.105</f>
        <v>25.01</v>
      </c>
      <c r="I96" s="24"/>
      <c r="J96" s="24"/>
    </row>
    <row r="97" spans="1:10" ht="65.25" customHeight="1">
      <c r="A97" s="15" t="s">
        <v>34</v>
      </c>
      <c r="B97" s="14" t="s">
        <v>26</v>
      </c>
      <c r="C97" s="1">
        <v>2708008658</v>
      </c>
      <c r="D97" s="14" t="s">
        <v>35</v>
      </c>
      <c r="E97" s="12">
        <f>0.75+2.25</f>
        <v>3</v>
      </c>
      <c r="F97" s="12">
        <f t="shared" si="5"/>
        <v>1</v>
      </c>
      <c r="G97" s="19">
        <f>0.25+0.25+0.25+0.25</f>
        <v>1</v>
      </c>
      <c r="H97" s="12"/>
      <c r="I97" s="19"/>
      <c r="J97" s="12"/>
    </row>
    <row r="98" spans="1:10" ht="63.75" customHeight="1">
      <c r="A98" s="15" t="s">
        <v>101</v>
      </c>
      <c r="B98" s="14" t="s">
        <v>25</v>
      </c>
      <c r="C98" s="1">
        <v>33794989</v>
      </c>
      <c r="D98" s="14" t="s">
        <v>100</v>
      </c>
      <c r="E98" s="12">
        <f>1.397+0.95+3.696</f>
        <v>6.043</v>
      </c>
      <c r="F98" s="12">
        <f t="shared" si="5"/>
        <v>6.043</v>
      </c>
      <c r="G98" s="19">
        <f>1.397+0.95+3.696</f>
        <v>6.043</v>
      </c>
      <c r="H98" s="12"/>
      <c r="I98" s="19"/>
      <c r="J98" s="12"/>
    </row>
    <row r="99" spans="1:10" ht="63" customHeight="1">
      <c r="A99" s="15" t="s">
        <v>83</v>
      </c>
      <c r="B99" s="14" t="s">
        <v>80</v>
      </c>
      <c r="C99" s="1" t="s">
        <v>81</v>
      </c>
      <c r="D99" s="14" t="s">
        <v>82</v>
      </c>
      <c r="E99" s="12">
        <v>1.9573</v>
      </c>
      <c r="F99" s="12">
        <f t="shared" si="5"/>
        <v>1.5068400000000002</v>
      </c>
      <c r="G99" s="19">
        <f>0.32871+0.24442+0.0651+0.22267+0.18447+0.46147</f>
        <v>1.5068400000000002</v>
      </c>
      <c r="H99" s="12"/>
      <c r="I99" s="19"/>
      <c r="J99" s="12"/>
    </row>
    <row r="100" spans="1:10" ht="135" customHeight="1">
      <c r="A100" s="15" t="s">
        <v>89</v>
      </c>
      <c r="B100" s="14" t="s">
        <v>87</v>
      </c>
      <c r="C100" s="28" t="s">
        <v>138</v>
      </c>
      <c r="D100" s="18" t="s">
        <v>88</v>
      </c>
      <c r="E100" s="12">
        <v>4.01958</v>
      </c>
      <c r="F100" s="12">
        <f t="shared" si="5"/>
        <v>4.01958</v>
      </c>
      <c r="G100" s="19">
        <v>4.01958</v>
      </c>
      <c r="H100" s="12"/>
      <c r="I100" s="19"/>
      <c r="J100" s="12"/>
    </row>
    <row r="101" spans="1:10" ht="75.75" customHeight="1">
      <c r="A101" s="15" t="s">
        <v>91</v>
      </c>
      <c r="B101" s="14" t="s">
        <v>87</v>
      </c>
      <c r="C101" s="28" t="s">
        <v>138</v>
      </c>
      <c r="D101" s="18" t="s">
        <v>90</v>
      </c>
      <c r="E101" s="12">
        <v>0.7344</v>
      </c>
      <c r="F101" s="12">
        <f t="shared" si="5"/>
        <v>0.7344</v>
      </c>
      <c r="G101" s="19">
        <v>0.7344</v>
      </c>
      <c r="H101" s="12"/>
      <c r="I101" s="19"/>
      <c r="J101" s="12"/>
    </row>
    <row r="102" spans="1:10" ht="187.5">
      <c r="A102" s="15" t="s">
        <v>111</v>
      </c>
      <c r="B102" s="14" t="s">
        <v>109</v>
      </c>
      <c r="C102" s="1">
        <v>38461727</v>
      </c>
      <c r="D102" s="5" t="s">
        <v>110</v>
      </c>
      <c r="E102" s="12">
        <v>2.15093</v>
      </c>
      <c r="F102" s="12">
        <f t="shared" si="5"/>
        <v>2.15093</v>
      </c>
      <c r="G102" s="19">
        <v>2.15093</v>
      </c>
      <c r="H102" s="12"/>
      <c r="I102" s="19"/>
      <c r="J102" s="12"/>
    </row>
    <row r="103" spans="1:10" ht="56.25" customHeight="1">
      <c r="A103" s="15" t="s">
        <v>116</v>
      </c>
      <c r="B103" s="14" t="s">
        <v>118</v>
      </c>
      <c r="C103" s="1">
        <v>2793614339</v>
      </c>
      <c r="D103" s="5" t="s">
        <v>117</v>
      </c>
      <c r="E103" s="12">
        <v>24</v>
      </c>
      <c r="F103" s="12">
        <f t="shared" si="5"/>
        <v>12</v>
      </c>
      <c r="G103" s="19">
        <f>4+8</f>
        <v>12</v>
      </c>
      <c r="H103" s="12"/>
      <c r="I103" s="19"/>
      <c r="J103" s="12"/>
    </row>
    <row r="104" spans="1:10" ht="112.5" customHeight="1">
      <c r="A104" s="15" t="s">
        <v>106</v>
      </c>
      <c r="B104" s="11" t="s">
        <v>105</v>
      </c>
      <c r="C104" s="1">
        <v>36359033</v>
      </c>
      <c r="D104" s="18" t="s">
        <v>102</v>
      </c>
      <c r="E104" s="12">
        <f>12+12</f>
        <v>24</v>
      </c>
      <c r="F104" s="12">
        <f t="shared" si="5"/>
        <v>24</v>
      </c>
      <c r="G104" s="19">
        <f>12+12</f>
        <v>24</v>
      </c>
      <c r="H104" s="12"/>
      <c r="I104" s="19"/>
      <c r="J104" s="12"/>
    </row>
    <row r="105" spans="1:10" ht="94.5" customHeight="1">
      <c r="A105" s="15" t="s">
        <v>107</v>
      </c>
      <c r="B105" s="11" t="s">
        <v>105</v>
      </c>
      <c r="C105" s="1">
        <v>36359033</v>
      </c>
      <c r="D105" s="18" t="s">
        <v>103</v>
      </c>
      <c r="E105" s="12">
        <f>15.984+15.984</f>
        <v>31.968</v>
      </c>
      <c r="F105" s="12">
        <f t="shared" si="5"/>
        <v>31.968</v>
      </c>
      <c r="G105" s="19">
        <f>15.984+15.984</f>
        <v>31.968</v>
      </c>
      <c r="H105" s="12"/>
      <c r="I105" s="19"/>
      <c r="J105" s="12"/>
    </row>
    <row r="106" spans="1:10" ht="150">
      <c r="A106" s="15" t="s">
        <v>108</v>
      </c>
      <c r="B106" s="11" t="s">
        <v>105</v>
      </c>
      <c r="C106" s="1">
        <v>36359033</v>
      </c>
      <c r="D106" s="18" t="s">
        <v>104</v>
      </c>
      <c r="E106" s="12">
        <v>3.12528</v>
      </c>
      <c r="F106" s="12">
        <f t="shared" si="5"/>
        <v>3.12528</v>
      </c>
      <c r="G106" s="19">
        <v>3.12528</v>
      </c>
      <c r="H106" s="12"/>
      <c r="I106" s="19"/>
      <c r="J106" s="12"/>
    </row>
    <row r="107" spans="1:10" ht="93.75">
      <c r="A107" s="15" t="s">
        <v>84</v>
      </c>
      <c r="B107" s="14" t="s">
        <v>86</v>
      </c>
      <c r="C107" s="28" t="s">
        <v>174</v>
      </c>
      <c r="D107" s="18" t="s">
        <v>85</v>
      </c>
      <c r="E107" s="12">
        <v>4.454</v>
      </c>
      <c r="F107" s="12">
        <f t="shared" si="5"/>
        <v>4.454</v>
      </c>
      <c r="G107" s="19">
        <v>4.454</v>
      </c>
      <c r="H107" s="12"/>
      <c r="I107" s="19"/>
      <c r="J107" s="12"/>
    </row>
    <row r="108" spans="1:10" ht="62.25" customHeight="1">
      <c r="A108" s="15" t="s">
        <v>223</v>
      </c>
      <c r="B108" s="14" t="s">
        <v>224</v>
      </c>
      <c r="C108" s="28" t="s">
        <v>225</v>
      </c>
      <c r="D108" s="18" t="s">
        <v>226</v>
      </c>
      <c r="E108" s="12">
        <v>11.71337</v>
      </c>
      <c r="F108" s="12">
        <f t="shared" si="5"/>
        <v>1.98388</v>
      </c>
      <c r="G108" s="19">
        <f>1.27603+0.70785</f>
        <v>1.98388</v>
      </c>
      <c r="H108" s="12"/>
      <c r="I108" s="19"/>
      <c r="J108" s="12"/>
    </row>
    <row r="109" spans="1:10" ht="134.25" customHeight="1">
      <c r="A109" s="15" t="s">
        <v>254</v>
      </c>
      <c r="B109" s="14" t="s">
        <v>256</v>
      </c>
      <c r="C109" s="28" t="s">
        <v>257</v>
      </c>
      <c r="D109" s="18" t="s">
        <v>255</v>
      </c>
      <c r="E109" s="12">
        <v>16.36097</v>
      </c>
      <c r="F109" s="12">
        <f t="shared" si="5"/>
        <v>16.36097</v>
      </c>
      <c r="G109" s="19">
        <v>16.36097</v>
      </c>
      <c r="H109" s="12"/>
      <c r="I109" s="19"/>
      <c r="J109" s="12"/>
    </row>
    <row r="110" spans="1:10" ht="206.25">
      <c r="A110" s="15" t="s">
        <v>222</v>
      </c>
      <c r="B110" s="14" t="s">
        <v>220</v>
      </c>
      <c r="C110" s="32">
        <v>40277858</v>
      </c>
      <c r="D110" s="14" t="s">
        <v>221</v>
      </c>
      <c r="E110" s="12">
        <v>19.849</v>
      </c>
      <c r="F110" s="12">
        <f t="shared" si="5"/>
        <v>0.649</v>
      </c>
      <c r="G110" s="19">
        <v>0.649</v>
      </c>
      <c r="H110" s="12"/>
      <c r="I110" s="19"/>
      <c r="J110" s="12"/>
    </row>
    <row r="111" spans="1:10" ht="75">
      <c r="A111" s="15" t="s">
        <v>178</v>
      </c>
      <c r="B111" s="14" t="s">
        <v>179</v>
      </c>
      <c r="C111" s="1">
        <v>41477040</v>
      </c>
      <c r="D111" s="5" t="s">
        <v>180</v>
      </c>
      <c r="E111" s="12">
        <f>-0.35455-0.054</f>
        <v>-0.40854999999999997</v>
      </c>
      <c r="F111" s="12">
        <f t="shared" si="5"/>
        <v>-0.40854999999999997</v>
      </c>
      <c r="G111" s="19">
        <f>-0.35455-0.054</f>
        <v>-0.40854999999999997</v>
      </c>
      <c r="H111" s="12"/>
      <c r="I111" s="19"/>
      <c r="J111" s="12"/>
    </row>
    <row r="112" spans="1:10" ht="96.75" customHeight="1">
      <c r="A112" s="15" t="s">
        <v>219</v>
      </c>
      <c r="B112" s="11" t="s">
        <v>216</v>
      </c>
      <c r="C112" s="1" t="s">
        <v>217</v>
      </c>
      <c r="D112" s="5" t="s">
        <v>218</v>
      </c>
      <c r="E112" s="12">
        <v>0.192</v>
      </c>
      <c r="F112" s="12">
        <f t="shared" si="5"/>
        <v>0.192</v>
      </c>
      <c r="G112" s="19">
        <v>0.192</v>
      </c>
      <c r="H112" s="12"/>
      <c r="I112" s="19"/>
      <c r="J112" s="12"/>
    </row>
    <row r="113" spans="1:10" s="2" customFormat="1" ht="18.75">
      <c r="A113" s="39" t="s">
        <v>16</v>
      </c>
      <c r="B113" s="39"/>
      <c r="C113" s="39"/>
      <c r="D113" s="39"/>
      <c r="E113" s="13">
        <f>SUM(E96:E112)</f>
        <v>182.93528</v>
      </c>
      <c r="F113" s="13">
        <f>SUM(F96:F112)</f>
        <v>139.55533000000003</v>
      </c>
      <c r="G113" s="13">
        <f>SUM(G96:G112)</f>
        <v>114.54532999999998</v>
      </c>
      <c r="H113" s="13">
        <f>SUM(H96:H107)</f>
        <v>25.01</v>
      </c>
      <c r="I113" s="13">
        <f>SUM(I96:I107)</f>
        <v>0</v>
      </c>
      <c r="J113" s="13">
        <f>SUM(J96:J107)</f>
        <v>0</v>
      </c>
    </row>
    <row r="114" spans="1:10" s="7" customFormat="1" ht="20.25">
      <c r="A114" s="39" t="s">
        <v>171</v>
      </c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s="7" customFormat="1" ht="93.75">
      <c r="A115" s="15" t="s">
        <v>173</v>
      </c>
      <c r="B115" s="11" t="s">
        <v>175</v>
      </c>
      <c r="C115" s="11">
        <v>2992010518</v>
      </c>
      <c r="D115" s="11" t="s">
        <v>176</v>
      </c>
      <c r="E115" s="29">
        <v>8.5</v>
      </c>
      <c r="F115" s="29">
        <f>SUM(G115:J115)</f>
        <v>8.5</v>
      </c>
      <c r="G115" s="29"/>
      <c r="H115" s="29"/>
      <c r="I115" s="29">
        <v>8.5</v>
      </c>
      <c r="J115" s="29"/>
    </row>
    <row r="116" spans="1:10" s="7" customFormat="1" ht="97.5" customHeight="1">
      <c r="A116" s="15" t="s">
        <v>188</v>
      </c>
      <c r="B116" s="11" t="s">
        <v>190</v>
      </c>
      <c r="C116" s="11">
        <v>3101606212</v>
      </c>
      <c r="D116" s="11" t="s">
        <v>189</v>
      </c>
      <c r="E116" s="29">
        <v>6.3</v>
      </c>
      <c r="F116" s="29">
        <f>SUM(G116:J116)</f>
        <v>6.3</v>
      </c>
      <c r="G116" s="29"/>
      <c r="H116" s="29"/>
      <c r="I116" s="29">
        <v>6.3</v>
      </c>
      <c r="J116" s="29"/>
    </row>
    <row r="117" spans="1:10" s="7" customFormat="1" ht="20.25">
      <c r="A117" s="39" t="s">
        <v>172</v>
      </c>
      <c r="B117" s="39"/>
      <c r="C117" s="39"/>
      <c r="D117" s="39"/>
      <c r="E117" s="17">
        <f aca="true" t="shared" si="6" ref="E117:J117">SUM(E115:E116)</f>
        <v>14.8</v>
      </c>
      <c r="F117" s="17">
        <f t="shared" si="6"/>
        <v>14.8</v>
      </c>
      <c r="G117" s="17">
        <f t="shared" si="6"/>
        <v>0</v>
      </c>
      <c r="H117" s="17">
        <f t="shared" si="6"/>
        <v>0</v>
      </c>
      <c r="I117" s="17">
        <f t="shared" si="6"/>
        <v>14.8</v>
      </c>
      <c r="J117" s="17">
        <f t="shared" si="6"/>
        <v>0</v>
      </c>
    </row>
    <row r="118" spans="1:10" s="7" customFormat="1" ht="20.25">
      <c r="A118" s="47" t="s">
        <v>17</v>
      </c>
      <c r="B118" s="47"/>
      <c r="C118" s="47"/>
      <c r="D118" s="47"/>
      <c r="E118" s="17">
        <f aca="true" t="shared" si="7" ref="E118:J118">E117+E113+E94+E61+E55</f>
        <v>6274.63894</v>
      </c>
      <c r="F118" s="17">
        <f t="shared" si="7"/>
        <v>2242.3891200000003</v>
      </c>
      <c r="G118" s="17">
        <f t="shared" si="7"/>
        <v>916.5083399999999</v>
      </c>
      <c r="H118" s="17">
        <f t="shared" si="7"/>
        <v>280.23229</v>
      </c>
      <c r="I118" s="17">
        <f t="shared" si="7"/>
        <v>1045.64849</v>
      </c>
      <c r="J118" s="17">
        <f t="shared" si="7"/>
        <v>0</v>
      </c>
    </row>
    <row r="120" spans="1:10" s="7" customFormat="1" ht="20.25">
      <c r="A120" s="6" t="s">
        <v>21</v>
      </c>
      <c r="B120" s="6"/>
      <c r="C120" s="6"/>
      <c r="E120" s="45"/>
      <c r="F120" s="45"/>
      <c r="G120" s="20"/>
      <c r="H120" s="8"/>
      <c r="I120" s="45" t="s">
        <v>30</v>
      </c>
      <c r="J120" s="45"/>
    </row>
    <row r="121" spans="1:10" s="7" customFormat="1" ht="20.25">
      <c r="A121" s="6"/>
      <c r="B121" s="6"/>
      <c r="C121" s="6"/>
      <c r="E121" s="8"/>
      <c r="F121" s="8"/>
      <c r="G121" s="20"/>
      <c r="H121" s="8"/>
      <c r="I121" s="20"/>
      <c r="J121" s="8"/>
    </row>
    <row r="122" spans="1:10" s="7" customFormat="1" ht="20.25">
      <c r="A122" s="44" t="s">
        <v>22</v>
      </c>
      <c r="B122" s="44"/>
      <c r="C122" s="44"/>
      <c r="E122" s="8"/>
      <c r="F122" s="8"/>
      <c r="G122" s="20"/>
      <c r="H122" s="8"/>
      <c r="I122" s="45" t="s">
        <v>29</v>
      </c>
      <c r="J122" s="45"/>
    </row>
    <row r="123" spans="1:10" ht="18.75">
      <c r="A123" s="46" t="s">
        <v>287</v>
      </c>
      <c r="B123" s="46"/>
      <c r="C123" s="3"/>
      <c r="E123" s="3"/>
      <c r="F123" s="3"/>
      <c r="G123" s="3"/>
      <c r="H123" s="3"/>
      <c r="I123" s="3"/>
      <c r="J123" s="3"/>
    </row>
  </sheetData>
  <sheetProtection/>
  <mergeCells count="28">
    <mergeCell ref="E6:E8"/>
    <mergeCell ref="F6:J6"/>
    <mergeCell ref="G7:J7"/>
    <mergeCell ref="A123:B123"/>
    <mergeCell ref="E120:F120"/>
    <mergeCell ref="I120:J120"/>
    <mergeCell ref="A56:J56"/>
    <mergeCell ref="A114:J114"/>
    <mergeCell ref="A117:D117"/>
    <mergeCell ref="A61:D61"/>
    <mergeCell ref="A122:C122"/>
    <mergeCell ref="A94:D94"/>
    <mergeCell ref="A95:J95"/>
    <mergeCell ref="A113:D113"/>
    <mergeCell ref="I122:J122"/>
    <mergeCell ref="A55:D55"/>
    <mergeCell ref="A118:D118"/>
    <mergeCell ref="A62:J62"/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2019-03-04T08:19:15Z</cp:lastPrinted>
  <dcterms:created xsi:type="dcterms:W3CDTF">2017-03-21T09:08:29Z</dcterms:created>
  <dcterms:modified xsi:type="dcterms:W3CDTF">2019-05-06T05:45:54Z</dcterms:modified>
  <cp:category/>
  <cp:version/>
  <cp:contentType/>
  <cp:contentStatus/>
</cp:coreProperties>
</file>