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12" sheetId="1" r:id="rId1"/>
  </sheets>
  <definedNames>
    <definedName name="_xlnm.Print_Titles" localSheetId="0">'01.12'!$6:$9</definedName>
    <definedName name="_xlnm.Print_Area" localSheetId="0">'01.12'!$A$1:$J$307</definedName>
  </definedNames>
  <calcPr fullCalcOnLoad="1"/>
</workbook>
</file>

<file path=xl/sharedStrings.xml><?xml version="1.0" encoding="utf-8"?>
<sst xmlns="http://schemas.openxmlformats.org/spreadsheetml/2006/main" count="917" uniqueCount="714">
  <si>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</si>
  <si>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</si>
  <si>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</si>
  <si>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</si>
  <si>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</si>
  <si>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</si>
  <si>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</si>
  <si>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</si>
  <si>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</si>
  <si>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</si>
  <si>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</si>
  <si>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</si>
  <si>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</si>
  <si>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</si>
  <si>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</si>
  <si>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</si>
  <si>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</si>
  <si>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</si>
  <si>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</si>
  <si>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</si>
  <si>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</si>
  <si>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</si>
  <si>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</si>
  <si>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</si>
  <si>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</si>
  <si>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</si>
  <si>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</si>
  <si>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</si>
  <si>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</si>
  <si>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</si>
  <si>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</si>
  <si>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</si>
  <si>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</si>
  <si>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</si>
  <si>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</si>
  <si>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</si>
  <si>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</si>
  <si>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</si>
  <si>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</si>
  <si>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</si>
  <si>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</si>
  <si>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</si>
  <si>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</si>
  <si>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</si>
  <si>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</si>
  <si>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</si>
  <si>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</si>
  <si>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</si>
  <si>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</si>
  <si>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</si>
  <si>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</si>
  <si>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</si>
  <si>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</si>
  <si>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</si>
  <si>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</si>
  <si>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</si>
  <si>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</si>
  <si>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</si>
  <si>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</si>
  <si>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</si>
  <si>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</si>
  <si>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</si>
  <si>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</si>
  <si>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</si>
  <si>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</si>
  <si>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</si>
  <si>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</si>
  <si>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</si>
  <si>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</si>
  <si>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</si>
  <si>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</si>
  <si>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</si>
  <si>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</si>
  <si>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</si>
  <si>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</si>
  <si>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</si>
  <si>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</si>
  <si>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</si>
  <si>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</si>
  <si>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</si>
  <si>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</si>
  <si>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</si>
  <si>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</si>
  <si>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</si>
  <si>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</si>
  <si>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</si>
  <si>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</si>
  <si>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</si>
  <si>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</si>
  <si>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</si>
  <si>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</si>
  <si>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</si>
  <si>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</si>
  <si>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</si>
  <si>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</si>
  <si>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</si>
  <si>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</si>
  <si>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</si>
  <si>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</si>
  <si>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</si>
  <si>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</si>
  <si>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</si>
  <si>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</si>
  <si>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</si>
  <si>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</si>
  <si>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</si>
  <si>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</si>
  <si>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</si>
  <si>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</si>
  <si>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</si>
  <si>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</si>
  <si>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</si>
  <si>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</si>
  <si>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</si>
  <si>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</si>
  <si>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</si>
  <si>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</si>
  <si>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</si>
  <si>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</si>
  <si>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</si>
  <si>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</si>
  <si>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</si>
  <si>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</si>
  <si>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</si>
  <si>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</si>
  <si>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</si>
  <si>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</si>
  <si>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</si>
  <si>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</si>
  <si>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</si>
  <si>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</si>
  <si>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</si>
  <si>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</si>
  <si>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</si>
  <si>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</si>
  <si>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</si>
  <si>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</si>
  <si>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</si>
  <si>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</si>
  <si>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</si>
  <si>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</si>
  <si>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</si>
  <si>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</si>
  <si>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</si>
  <si>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</si>
  <si>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</si>
  <si>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</si>
  <si>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</si>
  <si>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</si>
  <si>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</si>
  <si>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</si>
  <si>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</si>
  <si>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</si>
  <si>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</si>
  <si>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</si>
  <si>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</si>
  <si>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</si>
  <si>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</si>
  <si>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</si>
  <si>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</si>
  <si>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</si>
  <si>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</si>
  <si>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</si>
  <si>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</si>
  <si>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</si>
  <si>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</si>
  <si>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</si>
  <si>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</si>
  <si>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</si>
  <si>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</si>
  <si>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</si>
  <si>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</si>
  <si>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</si>
  <si>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</si>
  <si>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</si>
  <si>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</si>
  <si>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</si>
  <si>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</si>
  <si>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</si>
  <si>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</si>
  <si>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</si>
  <si>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</si>
  <si>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</si>
  <si>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</si>
  <si>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</si>
  <si>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</si>
  <si>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</si>
  <si>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</si>
  <si>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</si>
  <si>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</si>
  <si>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</si>
  <si>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</si>
  <si>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</si>
  <si>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</si>
  <si>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</si>
  <si>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</si>
  <si>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</si>
  <si>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</si>
  <si>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</si>
  <si>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</si>
  <si>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</si>
  <si>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</si>
  <si>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</si>
  <si>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</si>
  <si>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</si>
  <si>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</si>
  <si>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</si>
  <si>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</si>
  <si>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</si>
  <si>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</si>
  <si>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</si>
  <si>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</si>
  <si>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</si>
  <si>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</si>
  <si>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</si>
  <si>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</si>
  <si>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</si>
  <si>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</si>
  <si>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</si>
  <si>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</si>
  <si>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</si>
  <si>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</si>
  <si>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</si>
  <si>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</si>
  <si>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</si>
  <si>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</si>
  <si>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</si>
  <si>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</si>
  <si>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</si>
  <si>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</si>
  <si>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</si>
  <si>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</si>
  <si>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</si>
  <si>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</si>
  <si>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</si>
  <si>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</si>
  <si>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</si>
  <si>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</si>
  <si>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</si>
  <si>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</si>
  <si>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</si>
  <si>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</si>
  <si>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</si>
  <si>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</si>
  <si>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</si>
  <si>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</si>
  <si>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</si>
  <si>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</si>
  <si>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</si>
  <si>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</si>
  <si>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</si>
  <si>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</si>
  <si>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</si>
  <si>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</si>
  <si>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</si>
  <si>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</si>
  <si>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</si>
  <si>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</si>
  <si>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</si>
  <si>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</si>
  <si>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</si>
  <si>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</si>
  <si>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</si>
  <si>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</si>
  <si>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</si>
  <si>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</si>
  <si>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</si>
  <si>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</si>
  <si>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</si>
  <si>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</si>
  <si>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</si>
  <si>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</si>
  <si>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</si>
  <si>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</si>
  <si>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</si>
  <si>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</si>
  <si>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</si>
  <si>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</si>
  <si>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</si>
  <si>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</si>
  <si>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</si>
  <si>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</si>
  <si>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</si>
  <si>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</si>
  <si>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</si>
  <si>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</si>
  <si>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</si>
  <si>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</si>
  <si>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</si>
  <si>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</si>
  <si>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</si>
  <si>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</si>
  <si>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</si>
  <si>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</si>
  <si>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</si>
  <si>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</si>
  <si>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</si>
  <si>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</si>
  <si>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</si>
  <si>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</si>
  <si>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</si>
  <si>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</si>
  <si>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</si>
  <si>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</si>
  <si>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</si>
  <si>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</si>
  <si>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</si>
  <si>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</si>
  <si>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</si>
  <si>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</si>
  <si>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</si>
  <si>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</si>
  <si>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</si>
  <si>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</si>
  <si>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</si>
  <si>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</si>
  <si>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</si>
  <si>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</si>
  <si>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</si>
  <si>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</si>
  <si>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</si>
  <si>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</si>
  <si>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</si>
  <si>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</si>
  <si>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</si>
  <si>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</si>
  <si>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</si>
  <si>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</si>
  <si>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</si>
  <si>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</si>
  <si>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</si>
  <si>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№ 18-8-793 від 30.05.19</t>
  </si>
  <si>
    <t>Частини для сільськогосподарської техніки (запчастини для сільськогосподарської техніки)</t>
  </si>
  <si>
    <t>№ 50/10 від 11.06.19</t>
  </si>
  <si>
    <t>№ 53/10  від 06.06.19</t>
  </si>
  <si>
    <t>Вапняк, гіпс і крейда (вапно гашене)</t>
  </si>
  <si>
    <t>№ 54/10  від 06.06.19</t>
  </si>
  <si>
    <t>Мастики, шпаклівки, замазки та розчинники (розчинник)</t>
  </si>
  <si>
    <t>№ 55/10-е  від 28.05.19</t>
  </si>
  <si>
    <t>Приватне акціонерне товариство "АЗОВКАБЕЛЬ"</t>
  </si>
  <si>
    <t>№ 56/10  від 06.06.19</t>
  </si>
  <si>
    <t>Частини ручних інструментів (Круги відрізні)</t>
  </si>
  <si>
    <t>№ 57/10  від 06.06.19</t>
  </si>
  <si>
    <t>Гумові вироби (Ізоляційна стрічка)</t>
  </si>
  <si>
    <t>№ 58/10  від 06.06.19</t>
  </si>
  <si>
    <t>Кріпильні деталі (забивні дюбелі)</t>
  </si>
  <si>
    <t>№ 59/10  від 06.06.19</t>
  </si>
  <si>
    <t>Каналізаційне обладнання (Труби)</t>
  </si>
  <si>
    <t>№ 60/10  від 06.06.19</t>
  </si>
  <si>
    <t>Електричне приладдя та супутні товари до електричного обладнання (електротовари в асортименті)</t>
  </si>
  <si>
    <t>№ 64/10-е  від 06.06.19</t>
  </si>
  <si>
    <t>Нафта і дистиляти (дизельне пальне. картки на пальне)</t>
  </si>
  <si>
    <t>№ 68/10-т  від 12.06.19</t>
  </si>
  <si>
    <t>№ 39/30 від 19.06.19</t>
  </si>
  <si>
    <t>Продукція тваринництва та супутня продукція (натуральний мед)</t>
  </si>
  <si>
    <t>№ 14/40 від 06.06.19</t>
  </si>
  <si>
    <t>Інші завершальні будівельні роботи ( Поточний ремонт обладнання для підігріву холодної води БПК)</t>
  </si>
  <si>
    <t>Товариство з обмеженою відповідальністю "Теплоенергосоюз"</t>
  </si>
  <si>
    <t>№ 15/40 від 13.06.19</t>
  </si>
  <si>
    <t>Прокат пасажирських транспортних засобів із водієм (Транспортні послуги)</t>
  </si>
  <si>
    <t>Товариство з обмеженою відповідальністю "БАСТУР С"</t>
  </si>
  <si>
    <t>№ 40/10-е  від 16.04.19</t>
  </si>
  <si>
    <t>Фізична особа-підприємець Софіян Роман Васильович</t>
  </si>
  <si>
    <t>Взуття різне, крім спортивного та захисного (туфлі, капці)</t>
  </si>
  <si>
    <t>№ 51/10-е від 21.05.19</t>
  </si>
  <si>
    <t>Верхній одяг різний (светри вовняні чоловічі)</t>
  </si>
  <si>
    <t>Фізична особа-підприємець Збаравський Віталій Валерійович</t>
  </si>
  <si>
    <t>№ 55/10  від 06.06.19</t>
  </si>
  <si>
    <t>Вироби для ванної кімнати та кухні (змішувачі, кріплення для унітаза)</t>
  </si>
  <si>
    <t>№ 56/10-е  від 28.05.19</t>
  </si>
  <si>
    <t>№ 61/10  від 04.06.19</t>
  </si>
  <si>
    <t>Конструкційні матеріали (сходинку для ганку)</t>
  </si>
  <si>
    <t>Фізична особа-підприємець Єрмоленко Володимир Михайлович</t>
  </si>
  <si>
    <t>№ 62/10  від 07.06.19</t>
  </si>
  <si>
    <t>Товариство з обмеженою відповідальністю "Промбуд Іввестінг"</t>
  </si>
  <si>
    <t>№ 63/10-е  від 04.06.19</t>
  </si>
  <si>
    <t>Футболки та сорочки (Сорочки та футболки чоловічі)</t>
  </si>
  <si>
    <t>№ 65/10-е  від 06.06.19</t>
  </si>
  <si>
    <t>Фізична особа-підприємець Курносова Тетяна Валеріївна</t>
  </si>
  <si>
    <t>Конструкційні матеріали (цемент)</t>
  </si>
  <si>
    <t>№ 67/10  від 07.06.19</t>
  </si>
  <si>
    <t>Замки, ключі та петлі (замки)</t>
  </si>
  <si>
    <t>№ 70/10  від 19.06.19</t>
  </si>
  <si>
    <t>Вироби різні з канату, мотузки, шпагату та сітки (мотузка для білизни)</t>
  </si>
  <si>
    <t>№ 71/10  від 19.06.19</t>
  </si>
  <si>
    <t>Електрична апаратура для комутування та захисту електричних кіл (автоматичні вимикачі)</t>
  </si>
  <si>
    <t>№ 72/10  від 19.06.19</t>
  </si>
  <si>
    <t>Елементи електричних схем (Вилки та розетки)</t>
  </si>
  <si>
    <t>№ 73/10  від 19.06.19</t>
  </si>
  <si>
    <t>№ 76/10-е  від 24.06.19</t>
  </si>
  <si>
    <t>Парфуми, засоби гігієни та презервативи (мило, шампунь)</t>
  </si>
  <si>
    <t>№ 2/19 від 25.04.19</t>
  </si>
  <si>
    <t>Приватна фірма "ВЕЛЛ"</t>
  </si>
  <si>
    <t>Спеціальний одяг (спортивні костюми чоловічі)</t>
  </si>
  <si>
    <t>№ 02/20-е від 05.06.19</t>
  </si>
  <si>
    <t>Агрохімічна продукція (дезинфекційні засоби)</t>
  </si>
  <si>
    <t>Фізична особа-підприємець Ряжських Анжела Іванівна</t>
  </si>
  <si>
    <t>№ 38/30-е від 06.06.19</t>
  </si>
  <si>
    <t>Фруктові та овочеві соки (в асортименті)</t>
  </si>
  <si>
    <t>Фізична особа-підприємець Марков Богдан Артурович</t>
  </si>
  <si>
    <t>№ 02/3110-е від 08.04.19</t>
  </si>
  <si>
    <t>Теплообмінники, кондиціонери повітря, холодильне обладнання та фільтрувальні пристрої (водонагрівач проточний пластинчастий розбірний)</t>
  </si>
  <si>
    <t>Товариство з обмеженою відповідальністю "Енерго Тепло Інжиніринг"</t>
  </si>
  <si>
    <t>№ 04/3110 від 13.06.19</t>
  </si>
  <si>
    <t>Фізична особа-підприємець Герасименко Руслан Антонович</t>
  </si>
  <si>
    <t>Конструкції та їх частини (Альтанка для відпочинку підопічних)</t>
  </si>
  <si>
    <t>№ 05/3110 від 19.06.19</t>
  </si>
  <si>
    <t>№ 06/3110 від 24.06.19</t>
  </si>
  <si>
    <t>Котельні установки (бойлер Electrolux EWH 100 Formax)</t>
  </si>
  <si>
    <t xml:space="preserve">Приватна особа Полунін О.М. </t>
  </si>
  <si>
    <t>Продукти харчування (натуральна форма)</t>
  </si>
  <si>
    <t>Вироби з дроту ( дроти ШВВП 2*2,5; СИП-4 4*25 )</t>
  </si>
  <si>
    <t>Фізична особа-підприємець Каменщиков Денис Олександрович</t>
  </si>
  <si>
    <t>Електричні лампи розжарення (лампи енергозберігаючі; лампи бактерицидні )</t>
  </si>
  <si>
    <t>№ 74/10-е  від 20.06.19</t>
  </si>
  <si>
    <t>Агрохімічна продукція (Інсектициди)</t>
  </si>
  <si>
    <t>Фізична особа-підприємець Говорунов Максим Дмитрович</t>
  </si>
  <si>
    <t>№ 78/10-е  від 03.07.19</t>
  </si>
  <si>
    <t>№ 80/10  від 16.07.19</t>
  </si>
  <si>
    <t>Магістралі, трубопроводи, труби, обсадні труби, тюбінги та супутні вироби (шланги)</t>
  </si>
  <si>
    <t>№ 36/30-т від 27.05.19</t>
  </si>
  <si>
    <t>Зернові культури та картопля (картопля середньостигла)</t>
  </si>
  <si>
    <t>№ 40/30-е від 24.06.19</t>
  </si>
  <si>
    <t>Товариство з обмеженою відповідальністю "РЕСПЕКТ СІТІ"</t>
  </si>
  <si>
    <t>№ 41/30-т від 17.07.19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</si>
  <si>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1191/23 від 01.07.19</t>
    </r>
  </si>
  <si>
    <t>Публічне акціонерне товариство "Запоріжжяобленерго"</t>
  </si>
  <si>
    <t>Технічна перевірка трифазного лічильника трансформаторного включення</t>
  </si>
  <si>
    <t xml:space="preserve">Послуги пожежних і рятувальних служб (послуги з монтажу зовнішнього заземлення ) </t>
  </si>
  <si>
    <t>№ 17/40 від 27.06.19</t>
  </si>
  <si>
    <t>№ 18/40 від 02.07.19</t>
  </si>
  <si>
    <t>Послуги з технічного огляду та випробовувань (послуги з технічного огляду транспортних засобів)</t>
  </si>
  <si>
    <t>Приватне підприємство "Автохолдинг 2007"</t>
  </si>
  <si>
    <t>№ 83/10-е  від 12.07.19</t>
  </si>
  <si>
    <t>Фізична особа-підприємець  Бегджанян Мануель Сурикович</t>
  </si>
  <si>
    <t>№ 07/3110-е від 16.07.19</t>
  </si>
  <si>
    <t>Фізична особа-підприємець Покас Юлія Юріївна</t>
  </si>
  <si>
    <t>Насоси та компресори (Насос для свердловини)</t>
  </si>
  <si>
    <t>№ 16/40-е від 13.06.19</t>
  </si>
  <si>
    <t>Інші завершальн будівельні роботи ( Послуги з поточного ремонту санузла другого відділення другого поверху житлового корпусу № 2)</t>
  </si>
  <si>
    <t>Приватне підприємство "Алекс і Алекс Будівельно-монтажна група"</t>
  </si>
  <si>
    <t>№ 08/3110 від 19.07.19</t>
  </si>
  <si>
    <t>№ 09/3110 від 22.07.19</t>
  </si>
  <si>
    <t>№ 04/20 від 21.05.19</t>
  </si>
  <si>
    <t>Медичне обладнання  (Допоміжні засоби для ходіння - ходунки)</t>
  </si>
  <si>
    <t>Харківське казенне експериментальне протезно-ортопедичне підприємство</t>
  </si>
  <si>
    <t>№ 44/10  від 21.05.19</t>
  </si>
  <si>
    <t>Меблі для дому (Стіл приліжковий СП-1)</t>
  </si>
  <si>
    <t>№ 45/10  від 21.05.19</t>
  </si>
  <si>
    <t>№ 46/10  від 21.05.19</t>
  </si>
  <si>
    <t>Сидіння, стільці та супутні вироби і частини до них (Крісла-стільці дл особистої гігієни)</t>
  </si>
  <si>
    <t>Вироби для ванної кімнати та кухні (Умивальник на колесах УП-1)</t>
  </si>
  <si>
    <t>№ 69/10-е  від 13.06.19</t>
  </si>
  <si>
    <t>Продукція для чищення (пральний порошок, відбілювач)</t>
  </si>
  <si>
    <t>Дердавне підприємство "САВСЕРВІС СТОЛИЦЯ"</t>
  </si>
  <si>
    <t>№ 77/10-е  від 25.06.19</t>
  </si>
  <si>
    <t>Взуття різне, крім спортивного та захисного (жіночі та чоловічі сланці)</t>
  </si>
  <si>
    <t xml:space="preserve"> Товариство з обмеженою відповідальністю "Укрпропласт"</t>
  </si>
  <si>
    <t>34282341</t>
  </si>
  <si>
    <t>№ 79/10-е  від 01.07.19</t>
  </si>
  <si>
    <t>Товариство з обмеженою відповідальністю "Компанія ІНТЕКС"</t>
  </si>
  <si>
    <t>Електрична апаратура для комутування та захисту електричних кіл ( вимикачі, розетки)</t>
  </si>
  <si>
    <t>Основні неорганічні хімічні речовини (Карбонат натрію (сода кальцинована)</t>
  </si>
  <si>
    <t>№ 80/10-1-е  від 20.06.19</t>
  </si>
  <si>
    <t>Товариство з обмеженою відповідальністю  "Торгівельний двір "Українська товарна спілка"</t>
  </si>
  <si>
    <t>№ 81/10  від 16.07.19</t>
  </si>
  <si>
    <t>Електричні акумулятори (Літієві батареї)</t>
  </si>
  <si>
    <t>№ 85/10-е  від 23.07.19</t>
  </si>
  <si>
    <t>Офісне устаткування та приладдя різне (Канцелярське приладдя в асортименті)</t>
  </si>
  <si>
    <t>№ 86/10  від 22.07.19</t>
  </si>
  <si>
    <t>Вироби для ванної кімнати та кухні (Ванна стальна)</t>
  </si>
  <si>
    <t>№ 87/10-е  від 18.07.19</t>
  </si>
  <si>
    <t>Парфуми, засоби гігієни та презервативи (зубна паста, щітки)</t>
  </si>
  <si>
    <t>Фізична особа-підприємець Макаренко Геннадій Борисович</t>
  </si>
  <si>
    <t>Килимові покриття, килимки та килими (коврова доріжка, 1.5м)</t>
  </si>
  <si>
    <t>Овочі, фрукти та горіхи (фрукти та ягоди свіжі в асортименті )</t>
  </si>
  <si>
    <t>№ 52/10-е від 22.05.19</t>
  </si>
  <si>
    <t>Нафта і дистиляти (Бензин А-92, євро 5, картки на пальне)</t>
  </si>
  <si>
    <t>№ 75/10  від 07.08.19</t>
  </si>
  <si>
    <t>Механічні запасні частини, крім двигунів і частин двигунів (автовулканізатор ABRO 425 гр., ABRO 340 гр. )</t>
  </si>
  <si>
    <t>№ 89/10-е  від 24.07.19</t>
  </si>
  <si>
    <t>Трансформатори (Трансформатор струму)</t>
  </si>
  <si>
    <t>№ 92/10-е  від 30.07.19</t>
  </si>
  <si>
    <t>Фізична особа-підприємець Орлов Юрій Іванович</t>
  </si>
  <si>
    <t>Аксесуари до робочого одягу (Рукавички гумові універсальні з латексу)</t>
  </si>
  <si>
    <t>№ 1 від 19.08.19</t>
  </si>
  <si>
    <t>Комунальна установа "Преславський психоневрологічний інтернат" Запорізької обласної ради</t>
  </si>
  <si>
    <t>№ 42/30-е від 23.07.19</t>
  </si>
  <si>
    <t>Фізична особа-підприємець Кроль Юрій Леонідович</t>
  </si>
  <si>
    <t>Сирі олії та тваринні і рослинні жири ( жир свинячий топлений)</t>
  </si>
  <si>
    <t>№ 46 від 19.08.19</t>
  </si>
  <si>
    <t>Послуги з ремонту і технічного обслуговування техніки (Поточний ремонт насосного агрегату ЕЦВ 6-6.5-140)</t>
  </si>
  <si>
    <t>Фізична особа-підприємець Жовнерчук Володимир Леонідович</t>
  </si>
  <si>
    <t>№ 19/40 від 09.08.19</t>
  </si>
  <si>
    <t>Інші завершальні будівельні роботи ( Поточний ремонт контуру системи гарячого водопостачання КУ "ВПНІ" ЗОР)</t>
  </si>
  <si>
    <t>Товариство з обмеженою відповідальністю "Теплосоюзенерго"</t>
  </si>
  <si>
    <t>№ 125/10  від 08.08.19</t>
  </si>
  <si>
    <t>Бритви та манікюрні чи педикюрні набори (Станок бритвенний)</t>
  </si>
  <si>
    <t>№ 82/10-е  від 12.07.19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</si>
  <si>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</si>
  <si>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 Яммін Світлана Олександрівна</t>
  </si>
  <si>
    <t>№ 88/10-е  від 23.07.19</t>
  </si>
  <si>
    <t>Фізична особа-підприємець Тирсина Анжела Олегівна</t>
  </si>
  <si>
    <t>Меблі різні (Меблі з нержавіючої сталі для харчових продуктів)</t>
  </si>
  <si>
    <t>№ 91/10-е  від 30.07.19</t>
  </si>
  <si>
    <t>Підприємство обєднання громадян Криворізьке учбово-виробниче підприємство Українського товариства сліпих</t>
  </si>
  <si>
    <t>№ 94/10  від 08.08.19</t>
  </si>
  <si>
    <t>Шпалери та інші настінні покриття (шпалери)</t>
  </si>
  <si>
    <t>№ 95/10  від 23.08.19</t>
  </si>
  <si>
    <t>Електричні лампи розжарення ( Рециркулятор бактерицидний АЕРЕКС-стандарт 30)</t>
  </si>
  <si>
    <t>№ 26 від 20.08.19</t>
  </si>
  <si>
    <t>№ 27 від 20.08.19</t>
  </si>
  <si>
    <t>Товариство з обмеженою відповідальністю «Медтехніка Орто»</t>
  </si>
  <si>
    <t>№ 25 від 20.08.19</t>
  </si>
  <si>
    <t>Медичне обладнання (Стерилізатор сухоповітряний ГП-40)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</si>
  <si>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</si>
  <si>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б/н від 05.08.18</t>
  </si>
  <si>
    <t>Телевізори LG 43LW310C</t>
  </si>
  <si>
    <t>Холодильник LG GW-B499SMGZ</t>
  </si>
  <si>
    <t>Швейна фурнітура (натуральна форма)</t>
  </si>
  <si>
    <t>Телевізор Philips 22PFS4031/12, антени телевізійні, кабель, кронштейни</t>
  </si>
  <si>
    <t>б/н від 19.08.19</t>
  </si>
  <si>
    <t>5ДРПЧ Головного Управління ДСНС України у Запорізькій області</t>
  </si>
  <si>
    <t xml:space="preserve">Послуги пожежних і рятувальних служб (послуги з перевірки та випробування пожежних гідрантів ) </t>
  </si>
  <si>
    <t xml:space="preserve"> № 12-19/МЗ від 09.07.19</t>
  </si>
  <si>
    <t xml:space="preserve"> № 50-19/МЗ від 20.08.19</t>
  </si>
  <si>
    <t>Фізична особа-підприємець  Савелова Галина Сергіївна</t>
  </si>
  <si>
    <t xml:space="preserve">Оренда автомобіля ЗАЗ DAEWOO LANOS </t>
  </si>
  <si>
    <t>б/н від 05.08.19</t>
  </si>
  <si>
    <t>Парфуми, засоби гігієни та презервативи (фарби для волосся)</t>
  </si>
  <si>
    <t>№ 104/10  від 16.09.19</t>
  </si>
  <si>
    <t>№ 102/10-е  від 06.09.19</t>
  </si>
  <si>
    <t>Інвентар для спортивних ігор на відкритому повітрі (М'ячі волейбольні тренувальні)</t>
  </si>
  <si>
    <t>№ 126/10-е  від 12.08.19</t>
  </si>
  <si>
    <t>Сидіння, стільці та супутні вироби і частини до них (Сидіння для їдальні)</t>
  </si>
  <si>
    <t>Приватне акціонерне товариство "Новий стиль"</t>
  </si>
  <si>
    <t>№ 84/10-е  від 16.07.19</t>
  </si>
  <si>
    <t>Меблі для дому ( В асортименті для кімнати підтриманого проживання)</t>
  </si>
  <si>
    <t>Фізична особа-підприємець Біляєва Алла Володимирівна</t>
  </si>
  <si>
    <t>3085618620</t>
  </si>
  <si>
    <t>№ 93/10-е  від 30.07.19</t>
  </si>
  <si>
    <t>Газетний папір, папір ручного виготовлення та інший некрейдований папір або картон для графічних цілей (крепований папір)</t>
  </si>
  <si>
    <t>Електричні побутові прилади (Погружний блендер GASTRORAG-177)</t>
  </si>
  <si>
    <t>№ 98/10 від 09.09.19</t>
  </si>
  <si>
    <t>№ 96/10 від 02.09.19</t>
  </si>
  <si>
    <t>Столярні вироби (віконна фурнітура)</t>
  </si>
  <si>
    <t>Товариство з обмеженою відповідальністю "Камелот А"</t>
  </si>
  <si>
    <t>№ 44/30 від 23.09.19</t>
  </si>
  <si>
    <t>Продукти харчування та сушені продукти різні ( дріжджі хлібопекарські сухі)</t>
  </si>
  <si>
    <t>№ 100/10 від 05.09.19</t>
  </si>
  <si>
    <t>№ 103/10-е  від 10.09.19</t>
  </si>
  <si>
    <t>№ 90/10-т  від 23.07.19</t>
  </si>
  <si>
    <t>№ 43/30-е від 04.09.19</t>
  </si>
  <si>
    <t>Фізична особа-підприємець Коваленко Володимир Леонідович</t>
  </si>
  <si>
    <t>№ 24/40 від 05.09.19</t>
  </si>
  <si>
    <t>ЗПМ7217</t>
  </si>
  <si>
    <t>Фізична особа-підприємець Красовська Анастасія Павлівна</t>
  </si>
  <si>
    <t>Інформаційно-консультативні послуги з супроводження ПЗ "М.Е.Doc"</t>
  </si>
  <si>
    <t>№ 101/10-е  від 04.09.19</t>
  </si>
  <si>
    <t>Продукція для чищення (дозатори рідкого мила)</t>
  </si>
  <si>
    <t>3365102253</t>
  </si>
  <si>
    <t>Фізична особа-підприємець Богдан Роман Юрійович</t>
  </si>
  <si>
    <t>№ 105/10-е  від 25.09.19</t>
  </si>
  <si>
    <t>Товариство з обмеженою відповідальністю  "Арт-Пром"</t>
  </si>
  <si>
    <t>Меблі для дому (столи для їдальні)</t>
  </si>
  <si>
    <t>Вироби домашнього текстилю (рушники для лазні та обличчя)</t>
  </si>
  <si>
    <t>№ 109/10-е  від 04.10.19</t>
  </si>
  <si>
    <t>Товариство з обмеженою відповідальністю "Італіко"</t>
  </si>
  <si>
    <t>№ 107/10  від 07.10.19</t>
  </si>
  <si>
    <t>Електричні побутові прилади (частини побутових електричних приладів - диски на овочерізку ROBOT-COUPE)</t>
  </si>
  <si>
    <t>№ 112/10-е  від 09.10.19</t>
  </si>
  <si>
    <t>Фізична особа-підприємець Подушкін Леонід Вікторович</t>
  </si>
  <si>
    <t>Світильники та освітлювальна арматура (Світильник світлодіодний 9W 6400К 600мм)</t>
  </si>
  <si>
    <t>№ 113/10-е  від 09.10.19</t>
  </si>
  <si>
    <t>Товариство з обмеженою відповідальністю "КАРАТ"</t>
  </si>
  <si>
    <t>Килимові покриття, килимки та килими ( килими, коврові доріжки)</t>
  </si>
  <si>
    <t>№ 118/10  від 23.10.19</t>
  </si>
  <si>
    <t>Електричні лампи розжарення (Лампа  прозора 100 Вт)</t>
  </si>
  <si>
    <t>№ 119/10  від 23.10.19</t>
  </si>
  <si>
    <t>Електричні побутові прилади (Набір для стрижки Babyliss E826E)</t>
  </si>
  <si>
    <t>№ 122/10-е  від 25.10.19</t>
  </si>
  <si>
    <t>Фізична особа-підприємець Гайворонський Олег Володимирович</t>
  </si>
  <si>
    <t>Сидіння, стільці та супутні вироби і частини до них (Дивани)</t>
  </si>
  <si>
    <t>№ 46/30-т від 24.09.19</t>
  </si>
  <si>
    <t>Фізична особа-підприємець  Бован Олександр Іванович</t>
  </si>
  <si>
    <t>Овочі, фрукти та горіхи (овочі пізньостиглі в асортименті )</t>
  </si>
  <si>
    <t>№ 47/30-т від 24.09.19</t>
  </si>
  <si>
    <t>Зернові культури та картопля (картопля пізня)</t>
  </si>
  <si>
    <t>№ 49/30-е від 02.10.19</t>
  </si>
  <si>
    <t>Фізична особа-підприємець Чебукін Ігор Станіславович</t>
  </si>
  <si>
    <t>Заправки та приправи (в асртименті)</t>
  </si>
  <si>
    <t>№ 25/40-т від 07.10.19</t>
  </si>
  <si>
    <t>Приватне підприємство "Алекс і Алекс Будівельно-Монтажна група"</t>
  </si>
  <si>
    <t>Інші завершальні будівельні роботи (Послуги з поточного ремонту санвузла житлового корпусу № 4 КУ "ВПНІ" ЗОР)</t>
  </si>
  <si>
    <t>№ 117/10  від 16.10.19</t>
  </si>
  <si>
    <t>Фотокопіювальне та поліграфічне обладнання для офсетного друку ( Картридж Canon 725 ОЕМ оригінал)</t>
  </si>
  <si>
    <t>№ 45/30-т від 24.09.19</t>
  </si>
  <si>
    <t>Овочі, фрукти та горіхи (фрукти та цитрусовіі в асортименті )</t>
  </si>
  <si>
    <t>№ 48/30-е від 01.10.19</t>
  </si>
  <si>
    <t>Товариство з обмеженою відповідальністю  "Торговий дім "ЯСОН"</t>
  </si>
  <si>
    <t>Крохмалі та крохмалепродукти (крупа манна)</t>
  </si>
  <si>
    <t>№ 99/10 від 07.10.19</t>
  </si>
  <si>
    <t>Охолоджувальні рідини (Тосол Фелікс (синій) 10л-45С)</t>
  </si>
  <si>
    <t>Машини для виробництва текстильних виробів (Пральна машина з сушкою Indesit IWDE 7105 BEV)</t>
  </si>
  <si>
    <t>Сидіння, стільці та супутні вироби і частини до них (Диван Джас 3 кожзам)</t>
  </si>
  <si>
    <t>Машини для обробки продуктів харчування, виробництва напоїв та обробки тютюну (картоплечистка МОО-1)</t>
  </si>
  <si>
    <t>№ 108/10 -е від 07.10.19</t>
  </si>
  <si>
    <t>№ 97/10 від 07.10.19</t>
  </si>
  <si>
    <t>Плити, листи, стрічки та фольга, пов’язані з конструкційними матеріалами (Листи полікарбонатні, профілі)</t>
  </si>
  <si>
    <t>Фізична особа-підприємець Прусов Віталій Андрійович</t>
  </si>
  <si>
    <t>про укладення договорів про закупівлю товарів, робіт і послуг та їх виконання за станом на 01.12.2019</t>
  </si>
  <si>
    <t>№ 127/10-е  від 04.11.19</t>
  </si>
  <si>
    <t>Агрохімічна продукція (Гербіцид)</t>
  </si>
  <si>
    <t>Товариство з обмеженою відповідальністю "Рапітвіна"</t>
  </si>
  <si>
    <t>№ 114/10  від 04.11.19</t>
  </si>
  <si>
    <t>№ 115/10  від 04.11.19</t>
  </si>
  <si>
    <t>№ 116/10  від 04.11.19</t>
  </si>
  <si>
    <t>Шини для транспортних засобів великої та малої тоннажності (Шина 185/60 R 16с,165/70 R13 )</t>
  </si>
  <si>
    <t>Електричні акумулятори (Акумулятор ZUBR Ultra -75А + прав)</t>
  </si>
  <si>
    <t>№ 124/10  від 06.11.19</t>
  </si>
  <si>
    <t xml:space="preserve">Мастильні засоби (Моторна олива) </t>
  </si>
  <si>
    <t>№ 121/10-е  від 23.10.19</t>
  </si>
  <si>
    <t xml:space="preserve">Товариство з обмеженою відповідальністю  "ЛівайнТорг" </t>
  </si>
  <si>
    <t>№ 21/40 від 04.10.19</t>
  </si>
  <si>
    <t>Інші завершальні будівельні роботи ( Поточний ремонт контуру системи холодного водопостачання КУ "ВПНІ" ЗОР буд 1.2.3)</t>
  </si>
  <si>
    <t>№ 26/40 від 04.11.19</t>
  </si>
  <si>
    <t>Інші завершальні будівельні роботи ( Поточний ремонт системи холодного водопостачання КУ "ВПНІ" ЗОР буд 4)</t>
  </si>
  <si>
    <t>№ 27/40 від 15.11.19</t>
  </si>
  <si>
    <t>Фізична особа-підприємець Красилюк Сергій Володимирович</t>
  </si>
  <si>
    <t>№ 28/40 від 15.11.19</t>
  </si>
  <si>
    <t xml:space="preserve">Послуги з ремонту і технічного обслуговування охолоджувальних установок (Поточний ремонт холодильного агрегата ИФ-56) </t>
  </si>
  <si>
    <t>Послуги з ремонту і технічного обслуговування техніки (Послуги з поточного ремонту електричної плити ПЭ-6Ш)</t>
  </si>
  <si>
    <t>№ 110/10-е  від 07.10.19</t>
  </si>
  <si>
    <t>Товариство з обмеженою відповідальністю "Перший український голинниковий завод "Київська Русь"</t>
  </si>
  <si>
    <t>Персональні хронометри (Годинники настінні)</t>
  </si>
  <si>
    <t>№ 123/10  від 06.11.19</t>
  </si>
  <si>
    <t>Клеї (Клей для термопістолету)</t>
  </si>
  <si>
    <t>Фізична особа-підприємець Робота Тетяна Іванівна</t>
  </si>
  <si>
    <t>Меблі для дому (матрац односекційний поліуретановий з водонепроникної тканини на нетканому полотні)</t>
  </si>
  <si>
    <t>№ 128/10  від 04.11.19</t>
  </si>
  <si>
    <t>№ 132/10  від 18.11.19</t>
  </si>
  <si>
    <t>Світильники та освітлювальна арматура (Світильник круглий LED DL-7N)</t>
  </si>
  <si>
    <t>№ 133/10  від 14.11.19</t>
  </si>
  <si>
    <t>Меблі та приспособи різні (Стелаж дерев'яний)</t>
  </si>
  <si>
    <t>№ 134/10  від 22.11.19</t>
  </si>
  <si>
    <t>Вироби для ванної кімнати та кухні (змішувачі, шланги)</t>
  </si>
  <si>
    <t>№ 135/10  від 14.11.19</t>
  </si>
  <si>
    <t>Вироби домашнього текстилю (Наматрацник)</t>
  </si>
  <si>
    <t>№ 136/10  від 26.11.19</t>
  </si>
  <si>
    <t>Вентиляційне обладнання (Решітки вентиляційні)</t>
  </si>
  <si>
    <t>№ 138/10  від 26.11.19</t>
  </si>
  <si>
    <t>Світильники та освітлювальна арматура (Світильник настінний 600х600)</t>
  </si>
  <si>
    <t>№ 50/30-е від 30.10.19</t>
  </si>
  <si>
    <t>М'ясо (М''ясо свині)</t>
  </si>
  <si>
    <t>№ 51/30-е від 07.11.19</t>
  </si>
  <si>
    <t>Риба, ракоподібні та продукція водного господарства (товтолоб 3+ охолоджений)</t>
  </si>
  <si>
    <t>№ 52/30-е від 20.11.19</t>
  </si>
  <si>
    <t>Товариство з обмеженою відповідальністю "ЮГ-АГРОС"</t>
  </si>
  <si>
    <t xml:space="preserve">Продукція борошномельно-круп'яної промисловості (Крупа гречана, крупа рис)  </t>
  </si>
  <si>
    <t>№ 53/30-е від 20.11.19</t>
  </si>
  <si>
    <t>Фізична особа-підприємець Бойко Андрій Вадимович</t>
  </si>
  <si>
    <t>Крохмалі та крохмалепродукти (крохмаль кукурудзяний)</t>
  </si>
  <si>
    <t>№ 10/3110-е від 07.10.19</t>
  </si>
  <si>
    <t>Медичне обладнання та вироби медичного призначення різні (Медичні ліжко з туалетом Е-30)</t>
  </si>
  <si>
    <t>Фізична особа-підприємець Костур Михайло Андрійович</t>
  </si>
  <si>
    <t>№ 11/3110-е від 20.11.19</t>
  </si>
  <si>
    <t>Фізична особа-підприємець Тарасенко Наталія Вікторівна</t>
  </si>
  <si>
    <t>Електричні побутові прилади (електричні бойлери)</t>
  </si>
  <si>
    <t>№ 13/3110-е від 22.11.19</t>
  </si>
  <si>
    <t>Товариство з обмеженою відповідальністю "Рехаб Медікал"</t>
  </si>
  <si>
    <t>Медичне обладнання та вироби медичного призначення різні (Медичні ліжко з двома ручками для регулювання та вставками з дерева)</t>
  </si>
  <si>
    <t>№ 134/10-е від 14.11.19</t>
  </si>
  <si>
    <t>Товариство з обмеженою відповідальністю "Імперіал Груп Сервіс"</t>
  </si>
  <si>
    <t>Машини для виробництва текстильних виробів ( Пральна машина Samsung WF60F1R0E2WDUA)</t>
  </si>
  <si>
    <t>№ 139/10  від 26.11.19</t>
  </si>
  <si>
    <t>Фурнітура різна (Дзеркала Tombo TP2017 комплект)</t>
  </si>
  <si>
    <t>№ 140/10  від 26.11.19</t>
  </si>
  <si>
    <t>Кухонне приладдя, товари для дому та господарства і приладдя для закладів громадського харчування (відра металеві з педаллю 5л для сміття)</t>
  </si>
  <si>
    <t>№ 141/10  від 26.11.19</t>
  </si>
  <si>
    <t>Вироби домашнього текстилю (Ковдри силіконові 150х210)</t>
  </si>
  <si>
    <t>№ 142/10  від 26.11.19</t>
  </si>
  <si>
    <t>Телевізійне й аудіовізуальне обладнання ( Телевізори Blaupunkt 24WB865)</t>
  </si>
  <si>
    <t>№ 81/10  від 06.11.19</t>
  </si>
  <si>
    <t>Фізична особа-підприємець Проскура Тетяна Леонідівна</t>
  </si>
  <si>
    <t>№ 08/20-е від 01.11.19</t>
  </si>
  <si>
    <t>Лікарські засоби для лікування захворювань крові, органів кровотворення та захворювань серцевосудинної системи (Bisoprolol; Enalapril; Pentoxsifelini; amlodipine;)</t>
  </si>
  <si>
    <t>№ 10/20-е від 01.11.19</t>
  </si>
  <si>
    <t>Лікарські засоби різні (Calcium glycerylphosphate; SODIUM THIOSULPHATE; AZALEPTOL; Amantadine)</t>
  </si>
  <si>
    <t>№ 11/20-е від 14.11.19</t>
  </si>
  <si>
    <t>Товариство з обмеженою відповідальністю "Восток-Фарм"</t>
  </si>
  <si>
    <t>Лікарські засоби для лікування хвороб нервової системи та захворювань органів чуття (Acetylsalicylic acid, combinations excl. Psycholep; Myramistin; Comb drug; Procaine; Metamizole sodium; Paracetamol; Benzobarbital)</t>
  </si>
  <si>
    <t>№ 06/20-е від 31.10.19</t>
  </si>
  <si>
    <t>№ 09/20-е від 01.11.19</t>
  </si>
  <si>
    <t>Лікарські засоби для лікування дерматологічних захворювань та захворювань опорно-рухового апарату (CEFTRIAXONE; Chloramphenicol; METRONIDAZOL; Chloramphenico; Diclofenac; Hentasept procul. 2g №1 phialam suam; Hydrogen peroxide)</t>
  </si>
  <si>
    <t>№ 55/30-е від 19.11.19</t>
  </si>
  <si>
    <t>Фізична особа-підприємець Колесник Олена Федорівна</t>
  </si>
  <si>
    <t>Сирі олії та тваринні і рослинні жири (Жир свинячий топлений)</t>
  </si>
  <si>
    <t>№ 54/30-е від 20.11.19</t>
  </si>
  <si>
    <t>Фізична особа-підприємець Жулінська Олена Василівна</t>
  </si>
  <si>
    <t>Фруктові та овочеві соки (Сік мультивітамінний та яблучний)</t>
  </si>
  <si>
    <t>№ 4849 від 22.05.17</t>
  </si>
  <si>
    <t>Публічне акціонерне товариство "Укртелеком"</t>
  </si>
  <si>
    <t>Телекомунікаційні послуги</t>
  </si>
  <si>
    <t xml:space="preserve"> Приватне підприємство "Промтехсервіс Запоріжжя"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</si>
  <si>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приборів)</t>
  </si>
  <si>
    <t>№ 838 від 01.10.19</t>
  </si>
  <si>
    <t>№ 838/2 від 09.10.19</t>
  </si>
  <si>
    <t>Послуги з ремонту і технічного обслуговування електричного і механічного устаткування будівель (Послуги з перевірки протипожежного стану і ефективності ДВК від газових приборів, вул. Бойко 1,2,3)</t>
  </si>
  <si>
    <t>№ ЗПМЗТ 78 від 05.09.19</t>
  </si>
  <si>
    <t>Товариство з обмеженою відповідальністю "Техноцентр Маяк Запоріжжя"</t>
  </si>
  <si>
    <t>Послуги з ремонту і технічного обслуговування персональних компютерів ( Послуги з сервісу технічної підтримки облікової системи, а також повязані із супроводом консультаційні послуги)</t>
  </si>
  <si>
    <t>№ 55 від 04.10.19</t>
  </si>
  <si>
    <t>Послуги з ремонту і технічного обслуговування вимірювальних, випробувальних і контрольних приладів (Демонтаж, монтаж та перевірка манометра, термометра, сигналізатора газу)</t>
  </si>
  <si>
    <t>Фізична особа-підприємець  Бован Олександр Олександрович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</si>
</sst>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="75" zoomScaleNormal="75" zoomScaleSheetLayoutView="75" zoomScalePageLayoutView="0" workbookViewId="0" topLeftCell="A151">
      <selection activeCell="E156" sqref="E156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4.625" style="21" customWidth="1"/>
    <col min="10" max="10" width="13.75390625" style="10" customWidth="1"/>
    <col min="11" max="16384" width="9.125" style="3" customWidth="1"/>
  </cols>
  <sheetData>
    <row r="1" spans="1:10" ht="18.7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.75">
      <c r="A2" s="51" t="s">
        <v>610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7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</row>
    <row r="6" spans="1:11" ht="18.75">
      <c r="A6" s="53" t="s">
        <v>0</v>
      </c>
      <c r="B6" s="53" t="s">
        <v>1</v>
      </c>
      <c r="C6" s="53" t="s">
        <v>20</v>
      </c>
      <c r="D6" s="53" t="s">
        <v>2</v>
      </c>
      <c r="E6" s="50" t="s">
        <v>3</v>
      </c>
      <c r="F6" s="50" t="s">
        <v>4</v>
      </c>
      <c r="G6" s="50"/>
      <c r="H6" s="50"/>
      <c r="I6" s="50"/>
      <c r="J6" s="50"/>
      <c r="K6" s="4"/>
    </row>
    <row r="7" spans="1:11" ht="18.75">
      <c r="A7" s="53"/>
      <c r="B7" s="53"/>
      <c r="C7" s="53"/>
      <c r="D7" s="53"/>
      <c r="E7" s="50"/>
      <c r="F7" s="50" t="s">
        <v>18</v>
      </c>
      <c r="G7" s="50" t="s">
        <v>19</v>
      </c>
      <c r="H7" s="50"/>
      <c r="I7" s="50"/>
      <c r="J7" s="50"/>
      <c r="K7" s="4"/>
    </row>
    <row r="8" spans="1:11" ht="168.75">
      <c r="A8" s="53"/>
      <c r="B8" s="53"/>
      <c r="C8" s="53"/>
      <c r="D8" s="53"/>
      <c r="E8" s="50"/>
      <c r="F8" s="50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93.75">
      <c r="A11" s="11" t="s">
        <v>37</v>
      </c>
      <c r="B11" s="11" t="s">
        <v>36</v>
      </c>
      <c r="C11" s="1">
        <v>2811012290</v>
      </c>
      <c r="D11" s="24" t="s">
        <v>23</v>
      </c>
      <c r="E11" s="12">
        <f>2.45+19.646+0.65</f>
        <v>22.746</v>
      </c>
      <c r="F11" s="12">
        <f aca="true" t="shared" si="0" ref="F11:F158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f>29.24+35.9</f>
        <v>65.14</v>
      </c>
      <c r="F12" s="12">
        <f t="shared" si="0"/>
        <v>65.14</v>
      </c>
      <c r="G12" s="19"/>
      <c r="H12" s="12"/>
      <c r="I12" s="19">
        <f>29.24+35.9</f>
        <v>65.14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4.914+1.5114+1.53346</f>
        <v>7.95886</v>
      </c>
      <c r="F14" s="12">
        <f>SUM(G14:J14)</f>
        <v>7.978859999999999</v>
      </c>
      <c r="G14" s="19">
        <f>4.914+1.5114+1.53346+0.02</f>
        <v>7.978859999999999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4.3875+2.38146+2.05758+1.26864+1.16838+0.27588</f>
        <v>11.539439999999999</v>
      </c>
      <c r="F15" s="12">
        <f>SUM(G15:J15)</f>
        <v>11.539439999999999</v>
      </c>
      <c r="G15" s="19">
        <f>4.3875+2.38146+2.05758+1.26864+1.16838+0.27588</f>
        <v>11.539439999999999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v>7.222</v>
      </c>
      <c r="F22" s="12">
        <f t="shared" si="0"/>
        <v>6.147</v>
      </c>
      <c r="G22" s="19">
        <f>2.132+0.535+1.815+0.705+0.96</f>
        <v>6.147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0.487+0.569+2.529+1.203+3.957+0.956+0.17+0.681</f>
        <v>10.552</v>
      </c>
      <c r="F23" s="12">
        <f t="shared" si="0"/>
        <v>10.552</v>
      </c>
      <c r="G23" s="19"/>
      <c r="H23" s="12"/>
      <c r="I23" s="19">
        <f>0.487+0.569+2.529+1.203+3.957+0.956+0.17+0.681</f>
        <v>10.552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6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6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f>1.07+0.79</f>
        <v>1.86</v>
      </c>
      <c r="F28" s="12">
        <f t="shared" si="0"/>
        <v>1.86</v>
      </c>
      <c r="G28" s="19">
        <v>1.07</v>
      </c>
      <c r="H28" s="12"/>
      <c r="I28" s="19">
        <f>0.79</f>
        <v>0.79</v>
      </c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6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6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6" t="s">
        <v>192</v>
      </c>
      <c r="D32" s="29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6" t="s">
        <v>196</v>
      </c>
      <c r="D33" s="29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6" t="s">
        <v>265</v>
      </c>
      <c r="D34" s="29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6" t="s">
        <v>196</v>
      </c>
      <c r="D35" s="29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29" t="s">
        <v>56</v>
      </c>
      <c r="E36" s="19">
        <f>29.712</f>
        <v>29.712</v>
      </c>
      <c r="F36" s="12">
        <f t="shared" si="0"/>
        <v>29.1264</v>
      </c>
      <c r="G36" s="19">
        <f>29.172-0.021-0.0246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29" t="s">
        <v>285</v>
      </c>
      <c r="E37" s="19">
        <v>40.23</v>
      </c>
      <c r="F37" s="12">
        <f t="shared" si="0"/>
        <v>40.089999999999996</v>
      </c>
      <c r="G37" s="19">
        <f>40.23-0.14</f>
        <v>40.089999999999996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29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29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29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29" t="s">
        <v>271</v>
      </c>
      <c r="E41" s="19">
        <f>0.0954+1.219+0.357+0.324</f>
        <v>1.9954</v>
      </c>
      <c r="F41" s="12">
        <f t="shared" si="0"/>
        <v>1.9954</v>
      </c>
      <c r="G41" s="19"/>
      <c r="H41" s="12"/>
      <c r="I41" s="19">
        <f>0.0954+1.219+0.357+0.324</f>
        <v>1.9954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29" t="s">
        <v>273</v>
      </c>
      <c r="E42" s="19">
        <f>4.6491+2.35+1.273+0.626</f>
        <v>8.8981</v>
      </c>
      <c r="F42" s="12">
        <f t="shared" si="0"/>
        <v>8.4851</v>
      </c>
      <c r="G42" s="19"/>
      <c r="H42" s="12"/>
      <c r="I42" s="19">
        <f>3.5691+0.264+0.403+2.35+1.273+0.626</f>
        <v>8.4851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29" t="s">
        <v>275</v>
      </c>
      <c r="E43" s="19">
        <f>2.5575+0.042+1.538+2.688</f>
        <v>6.8255</v>
      </c>
      <c r="F43" s="12">
        <f t="shared" si="0"/>
        <v>6.8255</v>
      </c>
      <c r="G43" s="19">
        <v>0.042</v>
      </c>
      <c r="H43" s="12"/>
      <c r="I43" s="19">
        <f>2.5575+1.538+2.688</f>
        <v>6.7835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29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6" t="s">
        <v>259</v>
      </c>
      <c r="D45" s="29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29" t="s">
        <v>52</v>
      </c>
      <c r="E46" s="19">
        <v>13.2</v>
      </c>
      <c r="F46" s="12">
        <f t="shared" si="0"/>
        <v>13.09</v>
      </c>
      <c r="G46" s="19">
        <f>13.2-0.11</f>
        <v>13.09</v>
      </c>
      <c r="H46" s="12"/>
      <c r="I46" s="19"/>
      <c r="J46" s="12"/>
    </row>
    <row r="47" spans="1:10" ht="136.5" customHeight="1">
      <c r="A47" s="11" t="s">
        <v>276</v>
      </c>
      <c r="B47" s="14" t="s">
        <v>278</v>
      </c>
      <c r="C47" s="1">
        <v>3092617498</v>
      </c>
      <c r="D47" s="29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361</v>
      </c>
      <c r="B48" s="14" t="s">
        <v>362</v>
      </c>
      <c r="C48" s="1">
        <v>3454316252</v>
      </c>
      <c r="D48" s="29" t="s">
        <v>363</v>
      </c>
      <c r="E48" s="19">
        <v>69.84</v>
      </c>
      <c r="F48" s="12">
        <f t="shared" si="0"/>
        <v>69.83</v>
      </c>
      <c r="G48" s="19"/>
      <c r="H48" s="12"/>
      <c r="I48" s="19">
        <f>49.185+20.645</f>
        <v>69.83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29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29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29" t="s">
        <v>280</v>
      </c>
      <c r="E51" s="19">
        <f>1.65+4.99</f>
        <v>6.640000000000001</v>
      </c>
      <c r="F51" s="12">
        <f>SUM(G51:J51)</f>
        <v>6.640000000000001</v>
      </c>
      <c r="G51" s="19"/>
      <c r="H51" s="12"/>
      <c r="I51" s="19">
        <f>1.65+4.99</f>
        <v>6.640000000000001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29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6.5" customHeight="1">
      <c r="A53" s="11" t="s">
        <v>446</v>
      </c>
      <c r="B53" s="5" t="s">
        <v>445</v>
      </c>
      <c r="C53" s="30">
        <v>3187743</v>
      </c>
      <c r="D53" s="29" t="s">
        <v>447</v>
      </c>
      <c r="E53" s="19">
        <v>20.46</v>
      </c>
      <c r="F53" s="12">
        <f t="shared" si="0"/>
        <v>20.46</v>
      </c>
      <c r="G53" s="19"/>
      <c r="H53" s="12"/>
      <c r="I53" s="19">
        <v>20.46</v>
      </c>
      <c r="J53" s="12"/>
    </row>
    <row r="54" spans="1:10" ht="76.5" customHeight="1">
      <c r="A54" s="11" t="s">
        <v>448</v>
      </c>
      <c r="B54" s="5" t="s">
        <v>445</v>
      </c>
      <c r="C54" s="30">
        <v>3187743</v>
      </c>
      <c r="D54" s="18" t="s">
        <v>450</v>
      </c>
      <c r="E54" s="19">
        <v>27.445</v>
      </c>
      <c r="F54" s="12">
        <f t="shared" si="0"/>
        <v>27.445</v>
      </c>
      <c r="G54" s="19"/>
      <c r="H54" s="12"/>
      <c r="I54" s="19">
        <v>27.445</v>
      </c>
      <c r="J54" s="12"/>
    </row>
    <row r="55" spans="1:10" ht="76.5" customHeight="1">
      <c r="A55" s="11" t="s">
        <v>449</v>
      </c>
      <c r="B55" s="5" t="s">
        <v>445</v>
      </c>
      <c r="C55" s="30">
        <v>3187743</v>
      </c>
      <c r="D55" s="18" t="s">
        <v>451</v>
      </c>
      <c r="E55" s="19">
        <v>7.252</v>
      </c>
      <c r="F55" s="12">
        <f t="shared" si="0"/>
        <v>7.252</v>
      </c>
      <c r="G55" s="19"/>
      <c r="H55" s="12"/>
      <c r="I55" s="19">
        <v>7.252</v>
      </c>
      <c r="J55" s="12"/>
    </row>
    <row r="56" spans="1:10" ht="75.75" customHeight="1">
      <c r="A56" s="11" t="s">
        <v>287</v>
      </c>
      <c r="B56" s="11" t="s">
        <v>288</v>
      </c>
      <c r="C56" s="1">
        <v>3087716386</v>
      </c>
      <c r="D56" s="29" t="s">
        <v>289</v>
      </c>
      <c r="E56" s="19">
        <v>3.95</v>
      </c>
      <c r="F56" s="12">
        <f t="shared" si="0"/>
        <v>3.95</v>
      </c>
      <c r="G56" s="19">
        <v>3.95</v>
      </c>
      <c r="H56" s="12"/>
      <c r="I56" s="19"/>
      <c r="J56" s="12"/>
    </row>
    <row r="57" spans="1:10" ht="55.5" customHeight="1">
      <c r="A57" s="11" t="s">
        <v>391</v>
      </c>
      <c r="B57" s="11" t="s">
        <v>392</v>
      </c>
      <c r="C57" s="1">
        <v>30329899</v>
      </c>
      <c r="D57" s="29" t="s">
        <v>393</v>
      </c>
      <c r="E57" s="19">
        <v>12</v>
      </c>
      <c r="F57" s="12">
        <f t="shared" si="0"/>
        <v>12</v>
      </c>
      <c r="G57" s="19"/>
      <c r="H57" s="12"/>
      <c r="I57" s="19">
        <v>12</v>
      </c>
      <c r="J57" s="12"/>
    </row>
    <row r="58" spans="1:10" ht="75.75" customHeight="1">
      <c r="A58" s="11" t="s">
        <v>290</v>
      </c>
      <c r="B58" s="14" t="s">
        <v>125</v>
      </c>
      <c r="C58" s="1">
        <v>3241110998</v>
      </c>
      <c r="D58" s="29" t="s">
        <v>291</v>
      </c>
      <c r="E58" s="19">
        <v>2.98008</v>
      </c>
      <c r="F58" s="12">
        <f t="shared" si="0"/>
        <v>2.98008</v>
      </c>
      <c r="G58" s="19">
        <v>2.98008</v>
      </c>
      <c r="H58" s="12"/>
      <c r="I58" s="19"/>
      <c r="J58" s="12"/>
    </row>
    <row r="59" spans="1:10" ht="75.75" customHeight="1">
      <c r="A59" s="11" t="s">
        <v>320</v>
      </c>
      <c r="B59" s="14" t="s">
        <v>321</v>
      </c>
      <c r="C59" s="1">
        <v>38360040</v>
      </c>
      <c r="D59" s="29" t="s">
        <v>322</v>
      </c>
      <c r="E59" s="19">
        <v>6.55</v>
      </c>
      <c r="F59" s="12">
        <f t="shared" si="0"/>
        <v>6.55</v>
      </c>
      <c r="G59" s="19"/>
      <c r="H59" s="12"/>
      <c r="I59" s="19">
        <v>6.55</v>
      </c>
      <c r="J59" s="12"/>
    </row>
    <row r="60" spans="1:10" ht="75.75" customHeight="1">
      <c r="A60" s="11" t="s">
        <v>333</v>
      </c>
      <c r="B60" s="11" t="s">
        <v>288</v>
      </c>
      <c r="C60" s="1">
        <v>3087716386</v>
      </c>
      <c r="D60" s="29" t="s">
        <v>332</v>
      </c>
      <c r="E60" s="19">
        <v>2.25</v>
      </c>
      <c r="F60" s="12">
        <f t="shared" si="0"/>
        <v>2.25</v>
      </c>
      <c r="G60" s="19">
        <v>2.25</v>
      </c>
      <c r="H60" s="12"/>
      <c r="I60" s="19"/>
      <c r="J60" s="12"/>
    </row>
    <row r="61" spans="1:10" ht="75.75" customHeight="1">
      <c r="A61" s="11" t="s">
        <v>364</v>
      </c>
      <c r="B61" s="11" t="s">
        <v>366</v>
      </c>
      <c r="C61" s="1">
        <v>3315315510</v>
      </c>
      <c r="D61" s="29" t="s">
        <v>365</v>
      </c>
      <c r="E61" s="19">
        <v>7.899</v>
      </c>
      <c r="F61" s="12">
        <f t="shared" si="0"/>
        <v>7.899</v>
      </c>
      <c r="G61" s="19"/>
      <c r="H61" s="12"/>
      <c r="I61" s="19">
        <v>7.899</v>
      </c>
      <c r="J61" s="12"/>
    </row>
    <row r="62" spans="1:10" ht="75.75" customHeight="1">
      <c r="A62" s="11" t="s">
        <v>476</v>
      </c>
      <c r="B62" s="14" t="s">
        <v>53</v>
      </c>
      <c r="C62" s="1">
        <v>41224168</v>
      </c>
      <c r="D62" s="29" t="s">
        <v>477</v>
      </c>
      <c r="E62" s="19">
        <v>13.86</v>
      </c>
      <c r="F62" s="12">
        <f t="shared" si="0"/>
        <v>13.86</v>
      </c>
      <c r="G62" s="19">
        <v>13.86</v>
      </c>
      <c r="H62" s="12"/>
      <c r="I62" s="19"/>
      <c r="J62" s="12"/>
    </row>
    <row r="63" spans="1:10" ht="75.75" customHeight="1">
      <c r="A63" s="11" t="s">
        <v>334</v>
      </c>
      <c r="B63" s="11" t="s">
        <v>28</v>
      </c>
      <c r="C63" s="1">
        <v>2910606505</v>
      </c>
      <c r="D63" s="29" t="s">
        <v>335</v>
      </c>
      <c r="E63" s="19">
        <v>0.323</v>
      </c>
      <c r="F63" s="12">
        <f t="shared" si="0"/>
        <v>0.323</v>
      </c>
      <c r="G63" s="19">
        <v>0.323</v>
      </c>
      <c r="H63" s="12"/>
      <c r="I63" s="19"/>
      <c r="J63" s="12"/>
    </row>
    <row r="64" spans="1:10" ht="75.75" customHeight="1">
      <c r="A64" s="11" t="s">
        <v>336</v>
      </c>
      <c r="B64" s="11" t="s">
        <v>28</v>
      </c>
      <c r="C64" s="1">
        <v>2910606505</v>
      </c>
      <c r="D64" s="29" t="s">
        <v>337</v>
      </c>
      <c r="E64" s="19">
        <f>0.108+0.058</f>
        <v>0.166</v>
      </c>
      <c r="F64" s="12">
        <f t="shared" si="0"/>
        <v>0.166</v>
      </c>
      <c r="G64" s="19">
        <v>0.108</v>
      </c>
      <c r="H64" s="12"/>
      <c r="I64" s="19">
        <v>0.058</v>
      </c>
      <c r="J64" s="12"/>
    </row>
    <row r="65" spans="1:10" ht="75.75" customHeight="1">
      <c r="A65" s="11" t="s">
        <v>367</v>
      </c>
      <c r="B65" s="11" t="s">
        <v>28</v>
      </c>
      <c r="C65" s="1">
        <v>2910606505</v>
      </c>
      <c r="D65" s="29" t="s">
        <v>368</v>
      </c>
      <c r="E65" s="19">
        <f>2.938+4.815+1.55+1.725</f>
        <v>11.028</v>
      </c>
      <c r="F65" s="12">
        <f t="shared" si="0"/>
        <v>11.028</v>
      </c>
      <c r="G65" s="19"/>
      <c r="H65" s="12"/>
      <c r="I65" s="19">
        <f>2.938+4.815+1.55+1.725</f>
        <v>11.028</v>
      </c>
      <c r="J65" s="12"/>
    </row>
    <row r="66" spans="1:10" ht="63.75" customHeight="1">
      <c r="A66" s="11" t="s">
        <v>338</v>
      </c>
      <c r="B66" s="11" t="s">
        <v>339</v>
      </c>
      <c r="C66" s="1">
        <v>31600918</v>
      </c>
      <c r="D66" s="38" t="s">
        <v>411</v>
      </c>
      <c r="E66" s="19">
        <f>4.104+8.798</f>
        <v>12.902000000000001</v>
      </c>
      <c r="F66" s="12">
        <f t="shared" si="0"/>
        <v>12.902000000000001</v>
      </c>
      <c r="G66" s="19">
        <v>4.104</v>
      </c>
      <c r="H66" s="12"/>
      <c r="I66" s="19">
        <f>8.798</f>
        <v>8.798</v>
      </c>
      <c r="J66" s="12"/>
    </row>
    <row r="67" spans="1:10" ht="75.75" customHeight="1">
      <c r="A67" s="11" t="s">
        <v>340</v>
      </c>
      <c r="B67" s="11" t="s">
        <v>28</v>
      </c>
      <c r="C67" s="1">
        <v>2910606505</v>
      </c>
      <c r="D67" s="29" t="s">
        <v>341</v>
      </c>
      <c r="E67" s="19">
        <f>0.198+0.725</f>
        <v>0.923</v>
      </c>
      <c r="F67" s="12">
        <f t="shared" si="0"/>
        <v>0.923</v>
      </c>
      <c r="G67" s="19">
        <f>0.198+0.725</f>
        <v>0.923</v>
      </c>
      <c r="H67" s="12"/>
      <c r="I67" s="19"/>
      <c r="J67" s="12"/>
    </row>
    <row r="68" spans="1:10" ht="75.75" customHeight="1">
      <c r="A68" s="11" t="s">
        <v>369</v>
      </c>
      <c r="B68" s="11" t="s">
        <v>412</v>
      </c>
      <c r="C68" s="1">
        <v>2842000013</v>
      </c>
      <c r="D68" s="38" t="s">
        <v>413</v>
      </c>
      <c r="E68" s="19">
        <f>15.79+0.0495</f>
        <v>15.8395</v>
      </c>
      <c r="F68" s="12">
        <f t="shared" si="0"/>
        <v>15.8395</v>
      </c>
      <c r="G68" s="19"/>
      <c r="H68" s="12"/>
      <c r="I68" s="19">
        <f>15.79+0.0495</f>
        <v>15.8395</v>
      </c>
      <c r="J68" s="12"/>
    </row>
    <row r="69" spans="1:10" ht="75.75" customHeight="1">
      <c r="A69" s="11" t="s">
        <v>342</v>
      </c>
      <c r="B69" s="11" t="s">
        <v>28</v>
      </c>
      <c r="C69" s="1">
        <v>2910606505</v>
      </c>
      <c r="D69" s="29" t="s">
        <v>343</v>
      </c>
      <c r="E69" s="19">
        <v>0.12</v>
      </c>
      <c r="F69" s="12">
        <f t="shared" si="0"/>
        <v>0.12</v>
      </c>
      <c r="G69" s="19">
        <v>0.12</v>
      </c>
      <c r="H69" s="12"/>
      <c r="I69" s="19"/>
      <c r="J69" s="12"/>
    </row>
    <row r="70" spans="1:10" ht="75.75" customHeight="1">
      <c r="A70" s="11" t="s">
        <v>344</v>
      </c>
      <c r="B70" s="11" t="s">
        <v>28</v>
      </c>
      <c r="C70" s="1">
        <v>2910606505</v>
      </c>
      <c r="D70" s="29" t="s">
        <v>345</v>
      </c>
      <c r="E70" s="19">
        <f>0.045+0.098+0.313+0.028+0.57</f>
        <v>1.054</v>
      </c>
      <c r="F70" s="12">
        <f t="shared" si="0"/>
        <v>1.054</v>
      </c>
      <c r="G70" s="19">
        <f>0.045+0.098</f>
        <v>0.14300000000000002</v>
      </c>
      <c r="H70" s="12"/>
      <c r="I70" s="19">
        <f>0.313+0.028+0.57</f>
        <v>0.911</v>
      </c>
      <c r="J70" s="12"/>
    </row>
    <row r="71" spans="1:10" ht="75.75" customHeight="1">
      <c r="A71" s="11" t="s">
        <v>346</v>
      </c>
      <c r="B71" s="11" t="s">
        <v>28</v>
      </c>
      <c r="C71" s="1">
        <v>2910606505</v>
      </c>
      <c r="D71" s="29" t="s">
        <v>347</v>
      </c>
      <c r="E71" s="19">
        <f>0.415+0.026</f>
        <v>0.441</v>
      </c>
      <c r="F71" s="12">
        <f t="shared" si="0"/>
        <v>0.441</v>
      </c>
      <c r="G71" s="19">
        <v>0.415</v>
      </c>
      <c r="H71" s="12"/>
      <c r="I71" s="19">
        <v>0.026</v>
      </c>
      <c r="J71" s="12"/>
    </row>
    <row r="72" spans="1:10" ht="120" customHeight="1">
      <c r="A72" s="11" t="s">
        <v>348</v>
      </c>
      <c r="B72" s="11" t="s">
        <v>28</v>
      </c>
      <c r="C72" s="1">
        <v>2910606505</v>
      </c>
      <c r="D72" s="29" t="s">
        <v>349</v>
      </c>
      <c r="E72" s="19">
        <f>0.072+0.775+0.519</f>
        <v>1.366</v>
      </c>
      <c r="F72" s="12">
        <f t="shared" si="0"/>
        <v>1.366</v>
      </c>
      <c r="G72" s="19">
        <v>0.072</v>
      </c>
      <c r="H72" s="12"/>
      <c r="I72" s="19">
        <f>0.775+0.519</f>
        <v>1.294</v>
      </c>
      <c r="J72" s="12"/>
    </row>
    <row r="73" spans="1:10" ht="82.5" customHeight="1">
      <c r="A73" s="11" t="s">
        <v>370</v>
      </c>
      <c r="B73" s="11" t="s">
        <v>372</v>
      </c>
      <c r="C73" s="1">
        <v>2234216411</v>
      </c>
      <c r="D73" s="29" t="s">
        <v>371</v>
      </c>
      <c r="E73" s="19">
        <v>2.226</v>
      </c>
      <c r="F73" s="12">
        <f t="shared" si="0"/>
        <v>2.226</v>
      </c>
      <c r="G73" s="19"/>
      <c r="H73" s="12"/>
      <c r="I73" s="19">
        <v>2.226</v>
      </c>
      <c r="J73" s="12"/>
    </row>
    <row r="74" spans="1:10" ht="78.75" customHeight="1">
      <c r="A74" s="11" t="s">
        <v>373</v>
      </c>
      <c r="B74" s="11" t="s">
        <v>374</v>
      </c>
      <c r="C74" s="1">
        <v>41323648</v>
      </c>
      <c r="D74" s="29" t="s">
        <v>282</v>
      </c>
      <c r="E74" s="19">
        <v>18.69692</v>
      </c>
      <c r="F74" s="12">
        <f t="shared" si="0"/>
        <v>18.69692</v>
      </c>
      <c r="G74" s="19"/>
      <c r="H74" s="12"/>
      <c r="I74" s="19">
        <v>18.69692</v>
      </c>
      <c r="J74" s="12"/>
    </row>
    <row r="75" spans="1:10" ht="66" customHeight="1">
      <c r="A75" s="11" t="s">
        <v>375</v>
      </c>
      <c r="B75" s="11" t="s">
        <v>318</v>
      </c>
      <c r="C75" s="1">
        <v>2168804616</v>
      </c>
      <c r="D75" s="29" t="s">
        <v>376</v>
      </c>
      <c r="E75" s="19">
        <v>5.8</v>
      </c>
      <c r="F75" s="12">
        <f t="shared" si="0"/>
        <v>5.8</v>
      </c>
      <c r="G75" s="19"/>
      <c r="H75" s="12"/>
      <c r="I75" s="19">
        <v>5.8</v>
      </c>
      <c r="J75" s="12"/>
    </row>
    <row r="76" spans="1:10" ht="72.75" customHeight="1">
      <c r="A76" s="11" t="s">
        <v>350</v>
      </c>
      <c r="B76" s="14" t="s">
        <v>53</v>
      </c>
      <c r="C76" s="1">
        <v>41224168</v>
      </c>
      <c r="D76" s="29" t="s">
        <v>351</v>
      </c>
      <c r="E76" s="19">
        <v>11.4</v>
      </c>
      <c r="F76" s="12">
        <f t="shared" si="0"/>
        <v>11.4</v>
      </c>
      <c r="G76" s="19">
        <f>7.125+4.275</f>
        <v>11.4</v>
      </c>
      <c r="H76" s="12"/>
      <c r="I76" s="19"/>
      <c r="J76" s="12"/>
    </row>
    <row r="77" spans="1:10" ht="75" customHeight="1">
      <c r="A77" s="11" t="s">
        <v>377</v>
      </c>
      <c r="B77" s="14" t="s">
        <v>378</v>
      </c>
      <c r="C77" s="1">
        <v>2817210060</v>
      </c>
      <c r="D77" s="29" t="s">
        <v>379</v>
      </c>
      <c r="E77" s="19">
        <v>3.95</v>
      </c>
      <c r="F77" s="12">
        <f t="shared" si="0"/>
        <v>3.95</v>
      </c>
      <c r="G77" s="19"/>
      <c r="H77" s="12"/>
      <c r="I77" s="19">
        <v>3.95</v>
      </c>
      <c r="J77" s="12"/>
    </row>
    <row r="78" spans="1:10" ht="75" customHeight="1">
      <c r="A78" s="11" t="s">
        <v>380</v>
      </c>
      <c r="B78" s="11" t="s">
        <v>28</v>
      </c>
      <c r="C78" s="1">
        <v>2910606505</v>
      </c>
      <c r="D78" s="29" t="s">
        <v>381</v>
      </c>
      <c r="E78" s="19">
        <f>1.142+0.171+0.305+0.505</f>
        <v>2.1229999999999998</v>
      </c>
      <c r="F78" s="12">
        <f t="shared" si="0"/>
        <v>2.123</v>
      </c>
      <c r="G78" s="19">
        <v>0.305</v>
      </c>
      <c r="H78" s="12"/>
      <c r="I78" s="19">
        <f>1.142+0.171+0.505</f>
        <v>1.818</v>
      </c>
      <c r="J78" s="12"/>
    </row>
    <row r="79" spans="1:10" ht="80.25" customHeight="1">
      <c r="A79" s="11" t="s">
        <v>352</v>
      </c>
      <c r="B79" s="14" t="s">
        <v>53</v>
      </c>
      <c r="C79" s="1">
        <v>41224168</v>
      </c>
      <c r="D79" s="29" t="s">
        <v>56</v>
      </c>
      <c r="E79" s="19">
        <v>26.52</v>
      </c>
      <c r="F79" s="12">
        <f t="shared" si="0"/>
        <v>26.52</v>
      </c>
      <c r="G79" s="19">
        <f>6.9615+19.5585</f>
        <v>26.52</v>
      </c>
      <c r="H79" s="12"/>
      <c r="I79" s="19"/>
      <c r="J79" s="12"/>
    </row>
    <row r="80" spans="1:10" ht="80.25" customHeight="1">
      <c r="A80" s="11" t="s">
        <v>452</v>
      </c>
      <c r="B80" s="14" t="s">
        <v>454</v>
      </c>
      <c r="C80" s="1">
        <v>31903537</v>
      </c>
      <c r="D80" s="29" t="s">
        <v>453</v>
      </c>
      <c r="E80" s="19">
        <v>82.5642</v>
      </c>
      <c r="F80" s="12">
        <f t="shared" si="0"/>
        <v>82.5642</v>
      </c>
      <c r="G80" s="19"/>
      <c r="H80" s="12"/>
      <c r="I80" s="19">
        <v>82.5642</v>
      </c>
      <c r="J80" s="12"/>
    </row>
    <row r="81" spans="1:10" ht="78.75" customHeight="1">
      <c r="A81" s="11" t="s">
        <v>382</v>
      </c>
      <c r="B81" s="11" t="s">
        <v>28</v>
      </c>
      <c r="C81" s="1">
        <v>2910606505</v>
      </c>
      <c r="D81" s="29" t="s">
        <v>383</v>
      </c>
      <c r="E81" s="19">
        <f>0.39+0.845</f>
        <v>1.2349999999999999</v>
      </c>
      <c r="F81" s="12">
        <f t="shared" si="0"/>
        <v>1.2349999999999999</v>
      </c>
      <c r="G81" s="19"/>
      <c r="H81" s="12">
        <v>0.845</v>
      </c>
      <c r="I81" s="19">
        <v>0.39</v>
      </c>
      <c r="J81" s="12"/>
    </row>
    <row r="82" spans="1:10" ht="94.5" customHeight="1">
      <c r="A82" s="11" t="s">
        <v>384</v>
      </c>
      <c r="B82" s="11" t="s">
        <v>28</v>
      </c>
      <c r="C82" s="1">
        <v>2910606505</v>
      </c>
      <c r="D82" s="29" t="s">
        <v>385</v>
      </c>
      <c r="E82" s="19">
        <v>0.596</v>
      </c>
      <c r="F82" s="12">
        <f t="shared" si="0"/>
        <v>0.596</v>
      </c>
      <c r="G82" s="19"/>
      <c r="H82" s="12"/>
      <c r="I82" s="19">
        <v>0.596</v>
      </c>
      <c r="J82" s="12"/>
    </row>
    <row r="83" spans="1:10" ht="76.5" customHeight="1">
      <c r="A83" s="11" t="s">
        <v>386</v>
      </c>
      <c r="B83" s="11" t="s">
        <v>28</v>
      </c>
      <c r="C83" s="1">
        <v>2910606505</v>
      </c>
      <c r="D83" s="29" t="s">
        <v>387</v>
      </c>
      <c r="E83" s="19">
        <f>0.104+0.045</f>
        <v>0.149</v>
      </c>
      <c r="F83" s="12">
        <f t="shared" si="0"/>
        <v>0.149</v>
      </c>
      <c r="G83" s="19"/>
      <c r="H83" s="12"/>
      <c r="I83" s="19">
        <f>0.104+0.045</f>
        <v>0.149</v>
      </c>
      <c r="J83" s="12"/>
    </row>
    <row r="84" spans="1:10" ht="77.25" customHeight="1">
      <c r="A84" s="11" t="s">
        <v>388</v>
      </c>
      <c r="B84" s="11" t="s">
        <v>155</v>
      </c>
      <c r="C84" s="1">
        <v>2251605227</v>
      </c>
      <c r="D84" s="29" t="s">
        <v>474</v>
      </c>
      <c r="E84" s="19">
        <f>5.184+1.38</f>
        <v>6.564</v>
      </c>
      <c r="F84" s="12">
        <f t="shared" si="0"/>
        <v>6.564</v>
      </c>
      <c r="G84" s="19"/>
      <c r="H84" s="12"/>
      <c r="I84" s="19">
        <f>5.184+1.38</f>
        <v>6.564</v>
      </c>
      <c r="J84" s="12"/>
    </row>
    <row r="85" spans="1:10" ht="77.25" customHeight="1">
      <c r="A85" s="11" t="s">
        <v>414</v>
      </c>
      <c r="B85" s="11" t="s">
        <v>416</v>
      </c>
      <c r="C85" s="1">
        <v>3619505132</v>
      </c>
      <c r="D85" s="29" t="s">
        <v>415</v>
      </c>
      <c r="E85" s="19">
        <v>5.35</v>
      </c>
      <c r="F85" s="12">
        <f t="shared" si="0"/>
        <v>5.35</v>
      </c>
      <c r="G85" s="19"/>
      <c r="H85" s="12">
        <v>5.35</v>
      </c>
      <c r="I85" s="19"/>
      <c r="J85" s="12"/>
    </row>
    <row r="86" spans="1:10" ht="121.5" customHeight="1">
      <c r="A86" s="11" t="s">
        <v>478</v>
      </c>
      <c r="B86" s="14" t="s">
        <v>125</v>
      </c>
      <c r="C86" s="1">
        <v>3241110998</v>
      </c>
      <c r="D86" s="29" t="s">
        <v>479</v>
      </c>
      <c r="E86" s="19">
        <v>0.75528</v>
      </c>
      <c r="F86" s="12">
        <f t="shared" si="0"/>
        <v>0.75528</v>
      </c>
      <c r="G86" s="19">
        <v>0.75528</v>
      </c>
      <c r="H86" s="12"/>
      <c r="I86" s="19"/>
      <c r="J86" s="12"/>
    </row>
    <row r="87" spans="1:10" ht="77.25" customHeight="1">
      <c r="A87" s="11" t="s">
        <v>389</v>
      </c>
      <c r="B87" s="11" t="s">
        <v>182</v>
      </c>
      <c r="C87" s="26" t="s">
        <v>192</v>
      </c>
      <c r="D87" s="29" t="s">
        <v>390</v>
      </c>
      <c r="E87" s="19">
        <v>16.23</v>
      </c>
      <c r="F87" s="12">
        <f t="shared" si="0"/>
        <v>16.23</v>
      </c>
      <c r="G87" s="19"/>
      <c r="H87" s="12"/>
      <c r="I87" s="19">
        <v>16.23</v>
      </c>
      <c r="J87" s="12"/>
    </row>
    <row r="88" spans="1:10" ht="77.25" customHeight="1">
      <c r="A88" s="11" t="s">
        <v>455</v>
      </c>
      <c r="B88" s="11" t="s">
        <v>457</v>
      </c>
      <c r="C88" s="26" t="s">
        <v>458</v>
      </c>
      <c r="D88" s="29" t="s">
        <v>456</v>
      </c>
      <c r="E88" s="19">
        <v>4.75</v>
      </c>
      <c r="F88" s="12">
        <f t="shared" si="0"/>
        <v>4.75</v>
      </c>
      <c r="G88" s="19"/>
      <c r="H88" s="12"/>
      <c r="I88" s="19">
        <v>4.75</v>
      </c>
      <c r="J88" s="12"/>
    </row>
    <row r="89" spans="1:10" ht="77.25" customHeight="1">
      <c r="A89" s="11" t="s">
        <v>417</v>
      </c>
      <c r="B89" s="14" t="s">
        <v>53</v>
      </c>
      <c r="C89" s="1">
        <v>41224168</v>
      </c>
      <c r="D89" s="29" t="s">
        <v>52</v>
      </c>
      <c r="E89" s="19">
        <v>27.888</v>
      </c>
      <c r="F89" s="12">
        <f t="shared" si="0"/>
        <v>27.888</v>
      </c>
      <c r="G89" s="19">
        <v>27.888</v>
      </c>
      <c r="H89" s="12"/>
      <c r="I89" s="19"/>
      <c r="J89" s="12"/>
    </row>
    <row r="90" spans="1:10" ht="102" customHeight="1">
      <c r="A90" s="11" t="s">
        <v>459</v>
      </c>
      <c r="B90" s="14" t="s">
        <v>460</v>
      </c>
      <c r="C90" s="1">
        <v>38631848</v>
      </c>
      <c r="D90" s="29" t="s">
        <v>461</v>
      </c>
      <c r="E90" s="19">
        <v>2.064</v>
      </c>
      <c r="F90" s="12">
        <f t="shared" si="0"/>
        <v>2.064</v>
      </c>
      <c r="G90" s="19"/>
      <c r="H90" s="12"/>
      <c r="I90" s="19">
        <v>2.064</v>
      </c>
      <c r="J90" s="12"/>
    </row>
    <row r="91" spans="1:10" ht="94.5" customHeight="1">
      <c r="A91" s="11" t="s">
        <v>418</v>
      </c>
      <c r="B91" s="11" t="s">
        <v>28</v>
      </c>
      <c r="C91" s="1">
        <v>2910606505</v>
      </c>
      <c r="D91" s="29" t="s">
        <v>419</v>
      </c>
      <c r="E91" s="19">
        <f>2.097+0.06+0.503</f>
        <v>2.66</v>
      </c>
      <c r="F91" s="12">
        <f t="shared" si="0"/>
        <v>2.66</v>
      </c>
      <c r="G91" s="19">
        <v>2.097</v>
      </c>
      <c r="H91" s="12"/>
      <c r="I91" s="19">
        <f>0.06+0.503</f>
        <v>0.563</v>
      </c>
      <c r="J91" s="12"/>
    </row>
    <row r="92" spans="1:10" ht="112.5" customHeight="1">
      <c r="A92" s="11" t="s">
        <v>463</v>
      </c>
      <c r="B92" s="11" t="s">
        <v>464</v>
      </c>
      <c r="C92" s="1">
        <v>37243629</v>
      </c>
      <c r="D92" s="29" t="s">
        <v>462</v>
      </c>
      <c r="E92" s="19">
        <v>13.8</v>
      </c>
      <c r="F92" s="12">
        <f t="shared" si="0"/>
        <v>13.8</v>
      </c>
      <c r="G92" s="19"/>
      <c r="H92" s="12"/>
      <c r="I92" s="19">
        <v>13.8</v>
      </c>
      <c r="J92" s="12"/>
    </row>
    <row r="93" spans="1:10" ht="78.75" customHeight="1">
      <c r="A93" s="11" t="s">
        <v>465</v>
      </c>
      <c r="B93" s="11" t="s">
        <v>28</v>
      </c>
      <c r="C93" s="1">
        <v>2910606505</v>
      </c>
      <c r="D93" s="29" t="s">
        <v>466</v>
      </c>
      <c r="E93" s="19">
        <v>0.027</v>
      </c>
      <c r="F93" s="12">
        <f t="shared" si="0"/>
        <v>0.027</v>
      </c>
      <c r="G93" s="19"/>
      <c r="H93" s="12"/>
      <c r="I93" s="19">
        <v>0.027</v>
      </c>
      <c r="J93" s="12"/>
    </row>
    <row r="94" spans="1:10" ht="131.25" customHeight="1">
      <c r="A94" s="11" t="s">
        <v>682</v>
      </c>
      <c r="B94" s="11" t="s">
        <v>683</v>
      </c>
      <c r="C94" s="1">
        <v>2904203884</v>
      </c>
      <c r="D94" s="29" t="s">
        <v>541</v>
      </c>
      <c r="E94" s="19">
        <v>10.35</v>
      </c>
      <c r="F94" s="12">
        <f t="shared" si="0"/>
        <v>10.35</v>
      </c>
      <c r="G94" s="19"/>
      <c r="H94" s="12"/>
      <c r="I94" s="19">
        <v>10.35</v>
      </c>
      <c r="J94" s="12"/>
    </row>
    <row r="95" spans="1:10" ht="140.25" customHeight="1">
      <c r="A95" s="11" t="s">
        <v>498</v>
      </c>
      <c r="B95" s="11" t="s">
        <v>500</v>
      </c>
      <c r="C95" s="1">
        <v>2911120629</v>
      </c>
      <c r="D95" s="29" t="s">
        <v>499</v>
      </c>
      <c r="E95" s="19">
        <v>25.827</v>
      </c>
      <c r="F95" s="12">
        <f t="shared" si="0"/>
        <v>22.65806</v>
      </c>
      <c r="G95" s="19"/>
      <c r="H95" s="12"/>
      <c r="I95" s="19">
        <v>22.65806</v>
      </c>
      <c r="J95" s="12"/>
    </row>
    <row r="96" spans="1:10" ht="76.5" customHeight="1">
      <c r="A96" s="11" t="s">
        <v>433</v>
      </c>
      <c r="B96" s="11" t="s">
        <v>434</v>
      </c>
      <c r="C96" s="1">
        <v>2806911850</v>
      </c>
      <c r="D96" s="29" t="s">
        <v>379</v>
      </c>
      <c r="E96" s="19">
        <v>3.75</v>
      </c>
      <c r="F96" s="12">
        <f t="shared" si="0"/>
        <v>3.75</v>
      </c>
      <c r="G96" s="19"/>
      <c r="H96" s="12">
        <v>3.75</v>
      </c>
      <c r="I96" s="19"/>
      <c r="J96" s="12"/>
    </row>
    <row r="97" spans="1:10" ht="94.5" customHeight="1">
      <c r="A97" s="11" t="s">
        <v>467</v>
      </c>
      <c r="B97" s="11" t="s">
        <v>182</v>
      </c>
      <c r="C97" s="26" t="s">
        <v>192</v>
      </c>
      <c r="D97" s="29" t="s">
        <v>468</v>
      </c>
      <c r="E97" s="19">
        <v>12.80382</v>
      </c>
      <c r="F97" s="12">
        <f t="shared" si="0"/>
        <v>12.80382</v>
      </c>
      <c r="G97" s="19"/>
      <c r="H97" s="12"/>
      <c r="I97" s="19">
        <v>12.80382</v>
      </c>
      <c r="J97" s="12"/>
    </row>
    <row r="98" spans="1:10" ht="94.5" customHeight="1">
      <c r="A98" s="11" t="s">
        <v>536</v>
      </c>
      <c r="B98" s="11" t="s">
        <v>538</v>
      </c>
      <c r="C98" s="26" t="s">
        <v>539</v>
      </c>
      <c r="D98" s="29" t="s">
        <v>537</v>
      </c>
      <c r="E98" s="19">
        <v>28.218</v>
      </c>
      <c r="F98" s="12">
        <f t="shared" si="0"/>
        <v>28.218</v>
      </c>
      <c r="G98" s="19"/>
      <c r="H98" s="12"/>
      <c r="I98" s="19">
        <v>28.218</v>
      </c>
      <c r="J98" s="12"/>
    </row>
    <row r="99" spans="1:10" ht="75.75" customHeight="1">
      <c r="A99" s="11" t="s">
        <v>469</v>
      </c>
      <c r="B99" s="11" t="s">
        <v>155</v>
      </c>
      <c r="C99" s="1">
        <v>2251605227</v>
      </c>
      <c r="D99" s="29" t="s">
        <v>470</v>
      </c>
      <c r="E99" s="19">
        <f>5.85+6</f>
        <v>11.85</v>
      </c>
      <c r="F99" s="12">
        <f t="shared" si="0"/>
        <v>11.85</v>
      </c>
      <c r="G99" s="19"/>
      <c r="H99" s="12"/>
      <c r="I99" s="19">
        <f>5.85+6</f>
        <v>11.85</v>
      </c>
      <c r="J99" s="12"/>
    </row>
    <row r="100" spans="1:10" ht="72" customHeight="1">
      <c r="A100" s="11" t="s">
        <v>471</v>
      </c>
      <c r="B100" s="11" t="s">
        <v>473</v>
      </c>
      <c r="C100" s="1">
        <v>2670320791</v>
      </c>
      <c r="D100" s="29" t="s">
        <v>472</v>
      </c>
      <c r="E100" s="19">
        <v>22.549</v>
      </c>
      <c r="F100" s="12">
        <f t="shared" si="0"/>
        <v>22.549</v>
      </c>
      <c r="G100" s="19"/>
      <c r="H100" s="12"/>
      <c r="I100" s="19">
        <v>22.549</v>
      </c>
      <c r="J100" s="12"/>
    </row>
    <row r="101" spans="1:10" ht="72" customHeight="1">
      <c r="A101" s="11" t="s">
        <v>501</v>
      </c>
      <c r="B101" s="11" t="s">
        <v>502</v>
      </c>
      <c r="C101" s="1">
        <v>3426612108</v>
      </c>
      <c r="D101" s="29" t="s">
        <v>503</v>
      </c>
      <c r="E101" s="19">
        <v>46</v>
      </c>
      <c r="F101" s="12">
        <f t="shared" si="0"/>
        <v>46</v>
      </c>
      <c r="G101" s="19"/>
      <c r="H101" s="12"/>
      <c r="I101" s="19">
        <v>46</v>
      </c>
      <c r="J101" s="12"/>
    </row>
    <row r="102" spans="1:10" ht="72" customHeight="1">
      <c r="A102" s="11" t="s">
        <v>480</v>
      </c>
      <c r="B102" s="11" t="s">
        <v>288</v>
      </c>
      <c r="C102" s="1">
        <v>3087716386</v>
      </c>
      <c r="D102" s="29" t="s">
        <v>481</v>
      </c>
      <c r="E102" s="19">
        <v>4.725</v>
      </c>
      <c r="F102" s="12">
        <f t="shared" si="0"/>
        <v>4.725</v>
      </c>
      <c r="G102" s="19">
        <v>4.725</v>
      </c>
      <c r="H102" s="12"/>
      <c r="I102" s="19"/>
      <c r="J102" s="12"/>
    </row>
    <row r="103" spans="1:10" ht="72" customHeight="1">
      <c r="A103" s="11" t="s">
        <v>551</v>
      </c>
      <c r="B103" s="14" t="s">
        <v>53</v>
      </c>
      <c r="C103" s="1">
        <v>41224168</v>
      </c>
      <c r="D103" s="29" t="s">
        <v>56</v>
      </c>
      <c r="E103" s="19">
        <v>37.68</v>
      </c>
      <c r="F103" s="12">
        <f t="shared" si="0"/>
        <v>20.37155</v>
      </c>
      <c r="G103" s="19">
        <v>20.37155</v>
      </c>
      <c r="H103" s="12"/>
      <c r="I103" s="19"/>
      <c r="J103" s="12"/>
    </row>
    <row r="104" spans="1:10" ht="141" customHeight="1">
      <c r="A104" s="11" t="s">
        <v>504</v>
      </c>
      <c r="B104" s="11" t="s">
        <v>505</v>
      </c>
      <c r="C104" s="26" t="s">
        <v>137</v>
      </c>
      <c r="D104" s="29" t="s">
        <v>136</v>
      </c>
      <c r="E104" s="19">
        <v>7.18</v>
      </c>
      <c r="F104" s="12">
        <f t="shared" si="0"/>
        <v>7.18</v>
      </c>
      <c r="G104" s="19"/>
      <c r="H104" s="12"/>
      <c r="I104" s="19">
        <v>7.18</v>
      </c>
      <c r="J104" s="12"/>
    </row>
    <row r="105" spans="1:10" ht="72" customHeight="1">
      <c r="A105" s="11" t="s">
        <v>482</v>
      </c>
      <c r="B105" s="11" t="s">
        <v>483</v>
      </c>
      <c r="C105" s="1">
        <v>2752600672</v>
      </c>
      <c r="D105" s="29" t="s">
        <v>484</v>
      </c>
      <c r="E105" s="19">
        <v>3.6675</v>
      </c>
      <c r="F105" s="12">
        <f t="shared" si="0"/>
        <v>3.6675</v>
      </c>
      <c r="G105" s="19">
        <v>3.6675</v>
      </c>
      <c r="H105" s="12"/>
      <c r="I105" s="19"/>
      <c r="J105" s="12"/>
    </row>
    <row r="106" spans="1:10" ht="143.25" customHeight="1">
      <c r="A106" s="11" t="s">
        <v>540</v>
      </c>
      <c r="B106" s="11" t="s">
        <v>288</v>
      </c>
      <c r="C106" s="1">
        <v>3087716386</v>
      </c>
      <c r="D106" s="29" t="s">
        <v>541</v>
      </c>
      <c r="E106" s="19">
        <v>6.76643</v>
      </c>
      <c r="F106" s="12">
        <f t="shared" si="0"/>
        <v>6.76643</v>
      </c>
      <c r="G106" s="19"/>
      <c r="H106" s="12"/>
      <c r="I106" s="19">
        <v>6.76643</v>
      </c>
      <c r="J106" s="12"/>
    </row>
    <row r="107" spans="1:10" ht="75.75" customHeight="1">
      <c r="A107" s="11" t="s">
        <v>506</v>
      </c>
      <c r="B107" s="11" t="s">
        <v>28</v>
      </c>
      <c r="C107" s="1">
        <v>2910606505</v>
      </c>
      <c r="D107" s="29" t="s">
        <v>507</v>
      </c>
      <c r="E107" s="19">
        <v>5.2</v>
      </c>
      <c r="F107" s="12">
        <f>SUM(G107:J107)</f>
        <v>5.2</v>
      </c>
      <c r="G107" s="19"/>
      <c r="H107" s="12"/>
      <c r="I107" s="19">
        <v>5.2</v>
      </c>
      <c r="J107" s="12"/>
    </row>
    <row r="108" spans="1:10" ht="99.75" customHeight="1">
      <c r="A108" s="11" t="s">
        <v>54</v>
      </c>
      <c r="B108" s="11" t="s">
        <v>55</v>
      </c>
      <c r="C108" s="1">
        <v>38839332</v>
      </c>
      <c r="D108" s="5" t="s">
        <v>56</v>
      </c>
      <c r="E108" s="12">
        <v>6.8796</v>
      </c>
      <c r="F108" s="12">
        <f>SUM(G108:J108)</f>
        <v>6.8796</v>
      </c>
      <c r="G108" s="19">
        <v>6.8796</v>
      </c>
      <c r="H108" s="12"/>
      <c r="I108" s="19"/>
      <c r="J108" s="12"/>
    </row>
    <row r="109" spans="1:10" ht="94.5" customHeight="1">
      <c r="A109" s="11" t="s">
        <v>508</v>
      </c>
      <c r="B109" s="11" t="s">
        <v>155</v>
      </c>
      <c r="C109" s="1">
        <v>2251605227</v>
      </c>
      <c r="D109" s="29" t="s">
        <v>509</v>
      </c>
      <c r="E109" s="19">
        <f>17.4+2.1+28.8</f>
        <v>48.3</v>
      </c>
      <c r="F109" s="12">
        <f t="shared" si="0"/>
        <v>48.300000000000004</v>
      </c>
      <c r="G109" s="19">
        <v>2.1</v>
      </c>
      <c r="H109" s="12"/>
      <c r="I109" s="19">
        <f>17.4+28.8</f>
        <v>46.2</v>
      </c>
      <c r="J109" s="12"/>
    </row>
    <row r="110" spans="1:10" ht="75">
      <c r="A110" s="11" t="s">
        <v>544</v>
      </c>
      <c r="B110" s="11" t="s">
        <v>155</v>
      </c>
      <c r="C110" s="1">
        <v>2251605227</v>
      </c>
      <c r="D110" s="5" t="s">
        <v>542</v>
      </c>
      <c r="E110" s="12">
        <v>5.06</v>
      </c>
      <c r="F110" s="12">
        <f t="shared" si="0"/>
        <v>5.06</v>
      </c>
      <c r="G110" s="19"/>
      <c r="H110" s="12"/>
      <c r="I110" s="19">
        <v>5.06</v>
      </c>
      <c r="J110" s="12"/>
    </row>
    <row r="111" spans="1:10" ht="125.25" customHeight="1">
      <c r="A111" s="11" t="s">
        <v>607</v>
      </c>
      <c r="B111" s="11" t="s">
        <v>609</v>
      </c>
      <c r="C111" s="1"/>
      <c r="D111" s="5" t="s">
        <v>608</v>
      </c>
      <c r="E111" s="19">
        <v>6.07297</v>
      </c>
      <c r="F111" s="12">
        <f t="shared" si="0"/>
        <v>6.07297</v>
      </c>
      <c r="G111" s="19">
        <v>6.07297</v>
      </c>
      <c r="H111" s="12"/>
      <c r="I111" s="19"/>
      <c r="J111" s="12"/>
    </row>
    <row r="112" spans="1:10" ht="75">
      <c r="A112" s="11" t="s">
        <v>543</v>
      </c>
      <c r="B112" s="11" t="s">
        <v>546</v>
      </c>
      <c r="C112" s="1">
        <v>43131180</v>
      </c>
      <c r="D112" s="5" t="s">
        <v>545</v>
      </c>
      <c r="E112" s="12">
        <v>15.63085</v>
      </c>
      <c r="F112" s="12">
        <f t="shared" si="0"/>
        <v>15.63085</v>
      </c>
      <c r="G112" s="19"/>
      <c r="H112" s="12"/>
      <c r="I112" s="19">
        <v>15.63085</v>
      </c>
      <c r="J112" s="12"/>
    </row>
    <row r="113" spans="1:10" ht="56.25">
      <c r="A113" s="11" t="s">
        <v>601</v>
      </c>
      <c r="B113" s="14" t="s">
        <v>125</v>
      </c>
      <c r="C113" s="1">
        <v>3241110998</v>
      </c>
      <c r="D113" s="5" t="s">
        <v>602</v>
      </c>
      <c r="E113" s="12">
        <v>1.13148</v>
      </c>
      <c r="F113" s="12">
        <f t="shared" si="0"/>
        <v>1.13148</v>
      </c>
      <c r="G113" s="19">
        <v>1.13148</v>
      </c>
      <c r="H113" s="12"/>
      <c r="I113" s="19"/>
      <c r="J113" s="12"/>
    </row>
    <row r="114" spans="1:10" ht="97.5" customHeight="1">
      <c r="A114" s="11" t="s">
        <v>549</v>
      </c>
      <c r="B114" s="11" t="s">
        <v>182</v>
      </c>
      <c r="C114" s="26" t="s">
        <v>192</v>
      </c>
      <c r="D114" s="5" t="s">
        <v>468</v>
      </c>
      <c r="E114" s="12">
        <v>8.71872</v>
      </c>
      <c r="F114" s="12">
        <f t="shared" si="0"/>
        <v>8.71872</v>
      </c>
      <c r="G114" s="19">
        <v>8.71872</v>
      </c>
      <c r="H114" s="12"/>
      <c r="I114" s="19"/>
      <c r="J114" s="12"/>
    </row>
    <row r="115" spans="1:10" ht="97.5" customHeight="1">
      <c r="A115" s="11" t="s">
        <v>558</v>
      </c>
      <c r="B115" s="11" t="s">
        <v>561</v>
      </c>
      <c r="C115" s="26" t="s">
        <v>560</v>
      </c>
      <c r="D115" s="5" t="s">
        <v>559</v>
      </c>
      <c r="E115" s="12">
        <v>3.419</v>
      </c>
      <c r="F115" s="12">
        <f t="shared" si="0"/>
        <v>3.419</v>
      </c>
      <c r="G115" s="19"/>
      <c r="H115" s="12"/>
      <c r="I115" s="19">
        <v>3.419</v>
      </c>
      <c r="J115" s="12"/>
    </row>
    <row r="116" spans="1:10" ht="75">
      <c r="A116" s="11" t="s">
        <v>531</v>
      </c>
      <c r="B116" s="11" t="s">
        <v>182</v>
      </c>
      <c r="C116" s="26" t="s">
        <v>192</v>
      </c>
      <c r="D116" s="5" t="s">
        <v>529</v>
      </c>
      <c r="E116" s="12">
        <v>3.0399</v>
      </c>
      <c r="F116" s="12">
        <f t="shared" si="0"/>
        <v>3.0399</v>
      </c>
      <c r="G116" s="19"/>
      <c r="H116" s="12"/>
      <c r="I116" s="19">
        <v>3.0399</v>
      </c>
      <c r="J116" s="12"/>
    </row>
    <row r="117" spans="1:10" ht="75">
      <c r="A117" s="11" t="s">
        <v>550</v>
      </c>
      <c r="B117" s="14" t="s">
        <v>53</v>
      </c>
      <c r="C117" s="1">
        <v>41224168</v>
      </c>
      <c r="D117" s="5" t="s">
        <v>351</v>
      </c>
      <c r="E117" s="12">
        <v>20.688</v>
      </c>
      <c r="F117" s="12">
        <f t="shared" si="0"/>
        <v>20.688</v>
      </c>
      <c r="G117" s="19">
        <v>20.688</v>
      </c>
      <c r="H117" s="12"/>
      <c r="I117" s="19"/>
      <c r="J117" s="12"/>
    </row>
    <row r="118" spans="1:10" ht="97.5" customHeight="1">
      <c r="A118" s="11" t="s">
        <v>530</v>
      </c>
      <c r="B118" s="11" t="s">
        <v>155</v>
      </c>
      <c r="C118" s="1">
        <v>2251605227</v>
      </c>
      <c r="D118" s="5" t="s">
        <v>532</v>
      </c>
      <c r="E118" s="12">
        <v>1.9</v>
      </c>
      <c r="F118" s="12">
        <f t="shared" si="0"/>
        <v>1.9</v>
      </c>
      <c r="G118" s="19"/>
      <c r="H118" s="12"/>
      <c r="I118" s="19">
        <v>1.9</v>
      </c>
      <c r="J118" s="12"/>
    </row>
    <row r="119" spans="1:10" ht="97.5" customHeight="1">
      <c r="A119" s="11" t="s">
        <v>562</v>
      </c>
      <c r="B119" s="11" t="s">
        <v>563</v>
      </c>
      <c r="C119" s="1">
        <v>36989671</v>
      </c>
      <c r="D119" s="5" t="s">
        <v>564</v>
      </c>
      <c r="E119" s="12">
        <v>60.93</v>
      </c>
      <c r="F119" s="12">
        <f t="shared" si="0"/>
        <v>60.93</v>
      </c>
      <c r="G119" s="19"/>
      <c r="H119" s="12"/>
      <c r="I119" s="19">
        <v>60.93</v>
      </c>
      <c r="J119" s="12"/>
    </row>
    <row r="120" spans="1:10" ht="126" customHeight="1">
      <c r="A120" s="11" t="s">
        <v>568</v>
      </c>
      <c r="B120" s="11" t="s">
        <v>155</v>
      </c>
      <c r="C120" s="1">
        <v>2251605227</v>
      </c>
      <c r="D120" s="5" t="s">
        <v>569</v>
      </c>
      <c r="E120" s="12">
        <v>5.545</v>
      </c>
      <c r="F120" s="12">
        <f t="shared" si="0"/>
        <v>5.545</v>
      </c>
      <c r="G120" s="19"/>
      <c r="H120" s="12"/>
      <c r="I120" s="19">
        <v>5.545</v>
      </c>
      <c r="J120" s="12"/>
    </row>
    <row r="121" spans="1:10" ht="126" customHeight="1">
      <c r="A121" s="11" t="s">
        <v>606</v>
      </c>
      <c r="B121" s="14" t="s">
        <v>53</v>
      </c>
      <c r="C121" s="1">
        <v>41224168</v>
      </c>
      <c r="D121" s="5" t="s">
        <v>477</v>
      </c>
      <c r="E121" s="12">
        <v>7.794</v>
      </c>
      <c r="F121" s="12">
        <f t="shared" si="0"/>
        <v>0</v>
      </c>
      <c r="G121" s="19"/>
      <c r="H121" s="12"/>
      <c r="I121" s="19"/>
      <c r="J121" s="12"/>
    </row>
    <row r="122" spans="1:10" ht="97.5" customHeight="1">
      <c r="A122" s="11" t="s">
        <v>566</v>
      </c>
      <c r="B122" s="11" t="s">
        <v>567</v>
      </c>
      <c r="C122" s="1">
        <v>38974541</v>
      </c>
      <c r="D122" s="5" t="s">
        <v>565</v>
      </c>
      <c r="E122" s="12">
        <v>66.5015</v>
      </c>
      <c r="F122" s="12">
        <f t="shared" si="0"/>
        <v>66.5015</v>
      </c>
      <c r="G122" s="19"/>
      <c r="H122" s="12"/>
      <c r="I122" s="19">
        <v>66.5015</v>
      </c>
      <c r="J122" s="12"/>
    </row>
    <row r="123" spans="1:10" ht="128.25" customHeight="1">
      <c r="A123" s="11" t="s">
        <v>632</v>
      </c>
      <c r="B123" s="11" t="s">
        <v>633</v>
      </c>
      <c r="C123" s="1">
        <v>31629188</v>
      </c>
      <c r="D123" s="5" t="s">
        <v>634</v>
      </c>
      <c r="E123" s="12">
        <v>7.488</v>
      </c>
      <c r="F123" s="12">
        <f t="shared" si="0"/>
        <v>7.488</v>
      </c>
      <c r="G123" s="19"/>
      <c r="H123" s="12"/>
      <c r="I123" s="19">
        <v>7.488</v>
      </c>
      <c r="J123" s="12"/>
    </row>
    <row r="124" spans="1:10" ht="97.5" customHeight="1">
      <c r="A124" s="11" t="s">
        <v>570</v>
      </c>
      <c r="B124" s="11" t="s">
        <v>571</v>
      </c>
      <c r="C124" s="1">
        <v>3212502058</v>
      </c>
      <c r="D124" s="5" t="s">
        <v>572</v>
      </c>
      <c r="E124" s="12">
        <v>8.211</v>
      </c>
      <c r="F124" s="12">
        <f t="shared" si="0"/>
        <v>8.211</v>
      </c>
      <c r="G124" s="19"/>
      <c r="H124" s="12"/>
      <c r="I124" s="19">
        <v>8.211</v>
      </c>
      <c r="J124" s="12"/>
    </row>
    <row r="125" spans="1:10" ht="97.5" customHeight="1">
      <c r="A125" s="11" t="s">
        <v>573</v>
      </c>
      <c r="B125" s="11" t="s">
        <v>574</v>
      </c>
      <c r="C125" s="1">
        <v>21328928</v>
      </c>
      <c r="D125" s="5" t="s">
        <v>575</v>
      </c>
      <c r="E125" s="12">
        <v>34.96</v>
      </c>
      <c r="F125" s="12">
        <f t="shared" si="0"/>
        <v>34.96</v>
      </c>
      <c r="G125" s="19"/>
      <c r="H125" s="12"/>
      <c r="I125" s="19">
        <v>34.96</v>
      </c>
      <c r="J125" s="12"/>
    </row>
    <row r="126" spans="1:10" ht="97.5" customHeight="1">
      <c r="A126" s="11" t="s">
        <v>614</v>
      </c>
      <c r="B126" s="11" t="s">
        <v>288</v>
      </c>
      <c r="C126" s="1">
        <v>3087716386</v>
      </c>
      <c r="D126" s="5" t="s">
        <v>23</v>
      </c>
      <c r="E126" s="12">
        <v>4.409</v>
      </c>
      <c r="F126" s="12">
        <f t="shared" si="0"/>
        <v>4.409</v>
      </c>
      <c r="G126" s="19"/>
      <c r="H126" s="12">
        <v>4.409</v>
      </c>
      <c r="I126" s="19"/>
      <c r="J126" s="12"/>
    </row>
    <row r="127" spans="1:10" ht="97.5" customHeight="1">
      <c r="A127" s="11" t="s">
        <v>615</v>
      </c>
      <c r="B127" s="11" t="s">
        <v>288</v>
      </c>
      <c r="C127" s="1">
        <v>3087716386</v>
      </c>
      <c r="D127" s="18" t="s">
        <v>617</v>
      </c>
      <c r="E127" s="12">
        <v>7.68</v>
      </c>
      <c r="F127" s="12">
        <f t="shared" si="0"/>
        <v>7.68</v>
      </c>
      <c r="G127" s="19"/>
      <c r="H127" s="12">
        <v>7.68</v>
      </c>
      <c r="I127" s="19"/>
      <c r="J127" s="12"/>
    </row>
    <row r="128" spans="1:10" ht="97.5" customHeight="1">
      <c r="A128" s="11" t="s">
        <v>616</v>
      </c>
      <c r="B128" s="11" t="s">
        <v>288</v>
      </c>
      <c r="C128" s="1">
        <v>3087716386</v>
      </c>
      <c r="D128" s="18" t="s">
        <v>618</v>
      </c>
      <c r="E128" s="12">
        <v>2.92</v>
      </c>
      <c r="F128" s="12">
        <f t="shared" si="0"/>
        <v>2.92</v>
      </c>
      <c r="G128" s="19"/>
      <c r="H128" s="12">
        <v>2.92</v>
      </c>
      <c r="I128" s="19"/>
      <c r="J128" s="12"/>
    </row>
    <row r="129" spans="1:10" ht="119.25" customHeight="1">
      <c r="A129" s="11" t="s">
        <v>594</v>
      </c>
      <c r="B129" s="11" t="s">
        <v>131</v>
      </c>
      <c r="C129" s="1">
        <v>2819313730</v>
      </c>
      <c r="D129" s="5" t="s">
        <v>595</v>
      </c>
      <c r="E129" s="12">
        <v>3.9</v>
      </c>
      <c r="F129" s="12">
        <f t="shared" si="0"/>
        <v>3.9</v>
      </c>
      <c r="G129" s="19">
        <v>3.9</v>
      </c>
      <c r="H129" s="12"/>
      <c r="I129" s="19"/>
      <c r="J129" s="12"/>
    </row>
    <row r="130" spans="1:10" ht="97.5" customHeight="1">
      <c r="A130" s="11" t="s">
        <v>576</v>
      </c>
      <c r="B130" s="11" t="s">
        <v>28</v>
      </c>
      <c r="C130" s="1">
        <v>2910606505</v>
      </c>
      <c r="D130" s="5" t="s">
        <v>577</v>
      </c>
      <c r="E130" s="12">
        <v>0.18</v>
      </c>
      <c r="F130" s="12">
        <f t="shared" si="0"/>
        <v>0.18</v>
      </c>
      <c r="G130" s="19"/>
      <c r="H130" s="12"/>
      <c r="I130" s="19">
        <v>0.18</v>
      </c>
      <c r="J130" s="12"/>
    </row>
    <row r="131" spans="1:10" ht="97.5" customHeight="1">
      <c r="A131" s="11" t="s">
        <v>578</v>
      </c>
      <c r="B131" s="11" t="s">
        <v>155</v>
      </c>
      <c r="C131" s="1">
        <v>2251605227</v>
      </c>
      <c r="D131" s="5" t="s">
        <v>579</v>
      </c>
      <c r="E131" s="12">
        <f>1.38+47.92</f>
        <v>49.300000000000004</v>
      </c>
      <c r="F131" s="12">
        <f t="shared" si="0"/>
        <v>49.300000000000004</v>
      </c>
      <c r="G131" s="19"/>
      <c r="H131" s="12"/>
      <c r="I131" s="19">
        <f>1.38+47.92</f>
        <v>49.300000000000004</v>
      </c>
      <c r="J131" s="12"/>
    </row>
    <row r="132" spans="1:10" ht="97.5" customHeight="1">
      <c r="A132" s="11" t="s">
        <v>621</v>
      </c>
      <c r="B132" s="11" t="s">
        <v>622</v>
      </c>
      <c r="C132" s="1">
        <v>41449359</v>
      </c>
      <c r="D132" s="5" t="s">
        <v>351</v>
      </c>
      <c r="E132" s="12">
        <v>42</v>
      </c>
      <c r="F132" s="12">
        <f t="shared" si="0"/>
        <v>39.571</v>
      </c>
      <c r="G132" s="19"/>
      <c r="H132" s="12">
        <v>39.571</v>
      </c>
      <c r="I132" s="19"/>
      <c r="J132" s="12"/>
    </row>
    <row r="133" spans="1:10" ht="97.5" customHeight="1">
      <c r="A133" s="11" t="s">
        <v>580</v>
      </c>
      <c r="B133" s="11" t="s">
        <v>581</v>
      </c>
      <c r="C133" s="1">
        <v>2776105114</v>
      </c>
      <c r="D133" s="5" t="s">
        <v>582</v>
      </c>
      <c r="E133" s="12">
        <v>22.99</v>
      </c>
      <c r="F133" s="12">
        <f t="shared" si="0"/>
        <v>22.99</v>
      </c>
      <c r="G133" s="19"/>
      <c r="H133" s="12"/>
      <c r="I133" s="19">
        <v>22.99</v>
      </c>
      <c r="J133" s="12"/>
    </row>
    <row r="134" spans="1:10" ht="97.5" customHeight="1">
      <c r="A134" s="11" t="s">
        <v>635</v>
      </c>
      <c r="B134" s="11" t="s">
        <v>637</v>
      </c>
      <c r="C134" s="1">
        <v>2050012144</v>
      </c>
      <c r="D134" s="5" t="s">
        <v>636</v>
      </c>
      <c r="E134" s="12">
        <v>2.575</v>
      </c>
      <c r="F134" s="12">
        <f t="shared" si="0"/>
        <v>2.575</v>
      </c>
      <c r="G134" s="19"/>
      <c r="H134" s="12"/>
      <c r="I134" s="19">
        <v>2.575</v>
      </c>
      <c r="J134" s="12"/>
    </row>
    <row r="135" spans="1:10" ht="97.5" customHeight="1">
      <c r="A135" s="11" t="s">
        <v>619</v>
      </c>
      <c r="B135" s="11" t="s">
        <v>288</v>
      </c>
      <c r="C135" s="1">
        <v>3087716386</v>
      </c>
      <c r="D135" s="5" t="s">
        <v>620</v>
      </c>
      <c r="E135" s="12">
        <v>7.1</v>
      </c>
      <c r="F135" s="12">
        <f t="shared" si="0"/>
        <v>7.1</v>
      </c>
      <c r="G135" s="19"/>
      <c r="H135" s="12">
        <v>7.1</v>
      </c>
      <c r="I135" s="19"/>
      <c r="J135" s="12"/>
    </row>
    <row r="136" spans="1:10" ht="75">
      <c r="A136" s="11" t="s">
        <v>496</v>
      </c>
      <c r="B136" s="11" t="s">
        <v>155</v>
      </c>
      <c r="C136" s="1">
        <v>2251605227</v>
      </c>
      <c r="D136" s="29" t="s">
        <v>497</v>
      </c>
      <c r="E136" s="19">
        <v>1.46</v>
      </c>
      <c r="F136" s="12">
        <f aca="true" t="shared" si="1" ref="F136:F149">SUM(G136:J136)</f>
        <v>1.46</v>
      </c>
      <c r="G136" s="19"/>
      <c r="H136" s="12"/>
      <c r="I136" s="19">
        <v>1.46</v>
      </c>
      <c r="J136" s="12"/>
    </row>
    <row r="137" spans="1:10" ht="76.5" customHeight="1">
      <c r="A137" s="11" t="s">
        <v>533</v>
      </c>
      <c r="B137" s="11" t="s">
        <v>535</v>
      </c>
      <c r="C137" s="1">
        <v>32565288</v>
      </c>
      <c r="D137" s="29" t="s">
        <v>534</v>
      </c>
      <c r="E137" s="19">
        <v>70.9056</v>
      </c>
      <c r="F137" s="12">
        <f t="shared" si="1"/>
        <v>70.9056</v>
      </c>
      <c r="G137" s="19"/>
      <c r="H137" s="12"/>
      <c r="I137" s="19">
        <v>70.9056</v>
      </c>
      <c r="J137" s="12"/>
    </row>
    <row r="138" spans="1:10" ht="76.5" customHeight="1">
      <c r="A138" s="11" t="s">
        <v>611</v>
      </c>
      <c r="B138" s="11" t="s">
        <v>613</v>
      </c>
      <c r="C138" s="1">
        <v>40193857</v>
      </c>
      <c r="D138" s="29" t="s">
        <v>612</v>
      </c>
      <c r="E138" s="19">
        <v>22.8</v>
      </c>
      <c r="F138" s="12">
        <f t="shared" si="1"/>
        <v>22.8</v>
      </c>
      <c r="G138" s="19"/>
      <c r="H138" s="12">
        <v>22.8</v>
      </c>
      <c r="I138" s="19"/>
      <c r="J138" s="12"/>
    </row>
    <row r="139" spans="1:10" ht="120" customHeight="1">
      <c r="A139" s="11" t="s">
        <v>639</v>
      </c>
      <c r="B139" s="11" t="s">
        <v>567</v>
      </c>
      <c r="C139" s="1">
        <v>38974541</v>
      </c>
      <c r="D139" s="29" t="s">
        <v>638</v>
      </c>
      <c r="E139" s="19">
        <v>18.2</v>
      </c>
      <c r="F139" s="12">
        <f t="shared" si="1"/>
        <v>18.2</v>
      </c>
      <c r="G139" s="19"/>
      <c r="H139" s="12"/>
      <c r="I139" s="19">
        <v>18.2</v>
      </c>
      <c r="J139" s="12"/>
    </row>
    <row r="140" spans="1:10" ht="81.75" customHeight="1">
      <c r="A140" s="11" t="s">
        <v>640</v>
      </c>
      <c r="B140" s="11" t="s">
        <v>24</v>
      </c>
      <c r="C140" s="1">
        <v>2587702593</v>
      </c>
      <c r="D140" s="29" t="s">
        <v>641</v>
      </c>
      <c r="E140" s="19">
        <v>2.94</v>
      </c>
      <c r="F140" s="12">
        <f t="shared" si="1"/>
        <v>2.94</v>
      </c>
      <c r="G140" s="19"/>
      <c r="H140" s="12"/>
      <c r="I140" s="19">
        <v>2.94</v>
      </c>
      <c r="J140" s="12"/>
    </row>
    <row r="141" spans="1:10" ht="81.75" customHeight="1">
      <c r="A141" s="11" t="s">
        <v>642</v>
      </c>
      <c r="B141" s="11" t="s">
        <v>538</v>
      </c>
      <c r="C141" s="1">
        <v>3085618620</v>
      </c>
      <c r="D141" s="29" t="s">
        <v>643</v>
      </c>
      <c r="E141" s="19">
        <v>2.58</v>
      </c>
      <c r="F141" s="12">
        <f t="shared" si="1"/>
        <v>2.58</v>
      </c>
      <c r="G141" s="19"/>
      <c r="H141" s="12"/>
      <c r="I141" s="19">
        <v>2.58</v>
      </c>
      <c r="J141" s="12"/>
    </row>
    <row r="142" spans="1:10" ht="81.75" customHeight="1">
      <c r="A142" s="11" t="s">
        <v>644</v>
      </c>
      <c r="B142" s="11" t="s">
        <v>24</v>
      </c>
      <c r="C142" s="1">
        <v>2587702593</v>
      </c>
      <c r="D142" s="29" t="s">
        <v>645</v>
      </c>
      <c r="E142" s="19">
        <v>9.115</v>
      </c>
      <c r="F142" s="12">
        <f t="shared" si="1"/>
        <v>9.115</v>
      </c>
      <c r="G142" s="19"/>
      <c r="H142" s="12"/>
      <c r="I142" s="19">
        <v>9.115</v>
      </c>
      <c r="J142" s="12"/>
    </row>
    <row r="143" spans="1:10" ht="81.75" customHeight="1">
      <c r="A143" s="11" t="s">
        <v>646</v>
      </c>
      <c r="B143" s="11" t="s">
        <v>567</v>
      </c>
      <c r="C143" s="1">
        <v>38974541</v>
      </c>
      <c r="D143" s="29" t="s">
        <v>647</v>
      </c>
      <c r="E143" s="19">
        <v>17.74</v>
      </c>
      <c r="F143" s="12">
        <f t="shared" si="1"/>
        <v>17.74</v>
      </c>
      <c r="G143" s="19"/>
      <c r="H143" s="12"/>
      <c r="I143" s="19">
        <v>17.74</v>
      </c>
      <c r="J143" s="12"/>
    </row>
    <row r="144" spans="1:10" ht="81.75" customHeight="1">
      <c r="A144" s="11" t="s">
        <v>648</v>
      </c>
      <c r="B144" s="11" t="s">
        <v>28</v>
      </c>
      <c r="C144" s="1">
        <v>2910606505</v>
      </c>
      <c r="D144" s="29" t="s">
        <v>649</v>
      </c>
      <c r="E144" s="19">
        <v>0.402</v>
      </c>
      <c r="F144" s="12">
        <f t="shared" si="1"/>
        <v>0.402</v>
      </c>
      <c r="G144" s="19"/>
      <c r="H144" s="12"/>
      <c r="I144" s="19">
        <v>0.402</v>
      </c>
      <c r="J144" s="12"/>
    </row>
    <row r="145" spans="1:10" ht="81.75" customHeight="1">
      <c r="A145" s="11" t="s">
        <v>650</v>
      </c>
      <c r="B145" s="11" t="s">
        <v>155</v>
      </c>
      <c r="C145" s="1">
        <v>2251605227</v>
      </c>
      <c r="D145" s="29" t="s">
        <v>651</v>
      </c>
      <c r="E145" s="19">
        <v>4</v>
      </c>
      <c r="F145" s="12">
        <f t="shared" si="1"/>
        <v>4</v>
      </c>
      <c r="G145" s="19"/>
      <c r="H145" s="12"/>
      <c r="I145" s="19">
        <v>4</v>
      </c>
      <c r="J145" s="12"/>
    </row>
    <row r="146" spans="1:10" ht="81.75" customHeight="1">
      <c r="A146" s="11" t="s">
        <v>674</v>
      </c>
      <c r="B146" s="11" t="s">
        <v>155</v>
      </c>
      <c r="C146" s="1">
        <v>2251605227</v>
      </c>
      <c r="D146" s="29" t="s">
        <v>675</v>
      </c>
      <c r="E146" s="19">
        <v>2.88</v>
      </c>
      <c r="F146" s="12">
        <f t="shared" si="1"/>
        <v>2.88</v>
      </c>
      <c r="G146" s="19"/>
      <c r="H146" s="12"/>
      <c r="I146" s="19">
        <v>2.88</v>
      </c>
      <c r="J146" s="12"/>
    </row>
    <row r="147" spans="1:10" ht="159" customHeight="1">
      <c r="A147" s="11" t="s">
        <v>676</v>
      </c>
      <c r="B147" s="11" t="s">
        <v>155</v>
      </c>
      <c r="C147" s="1">
        <v>2251605227</v>
      </c>
      <c r="D147" s="29" t="s">
        <v>677</v>
      </c>
      <c r="E147" s="19">
        <v>3.04</v>
      </c>
      <c r="F147" s="12">
        <f t="shared" si="1"/>
        <v>3.04</v>
      </c>
      <c r="G147" s="19"/>
      <c r="H147" s="12"/>
      <c r="I147" s="19">
        <v>3.04</v>
      </c>
      <c r="J147" s="12"/>
    </row>
    <row r="148" spans="1:10" ht="87" customHeight="1">
      <c r="A148" s="11" t="s">
        <v>678</v>
      </c>
      <c r="B148" s="11" t="s">
        <v>155</v>
      </c>
      <c r="C148" s="1">
        <v>2251605227</v>
      </c>
      <c r="D148" s="29" t="s">
        <v>679</v>
      </c>
      <c r="E148" s="19">
        <v>5.92</v>
      </c>
      <c r="F148" s="12">
        <f t="shared" si="1"/>
        <v>5.92</v>
      </c>
      <c r="G148" s="19"/>
      <c r="H148" s="12"/>
      <c r="I148" s="19">
        <v>5.92</v>
      </c>
      <c r="J148" s="12"/>
    </row>
    <row r="149" spans="1:10" ht="102" customHeight="1">
      <c r="A149" s="11" t="s">
        <v>680</v>
      </c>
      <c r="B149" s="11" t="s">
        <v>155</v>
      </c>
      <c r="C149" s="1">
        <v>2251605227</v>
      </c>
      <c r="D149" s="29" t="s">
        <v>681</v>
      </c>
      <c r="E149" s="19">
        <v>11.1</v>
      </c>
      <c r="F149" s="12">
        <f t="shared" si="1"/>
        <v>11.1</v>
      </c>
      <c r="G149" s="19"/>
      <c r="H149" s="12"/>
      <c r="I149" s="19">
        <v>11.1</v>
      </c>
      <c r="J149" s="12"/>
    </row>
    <row r="150" spans="1:10" ht="114" customHeight="1">
      <c r="A150" s="11" t="s">
        <v>230</v>
      </c>
      <c r="B150" s="11" t="s">
        <v>229</v>
      </c>
      <c r="C150" s="1">
        <v>33096978</v>
      </c>
      <c r="D150" s="18" t="s">
        <v>227</v>
      </c>
      <c r="E150" s="12">
        <v>12.3147</v>
      </c>
      <c r="F150" s="12">
        <f t="shared" si="0"/>
        <v>12.3147</v>
      </c>
      <c r="G150" s="19"/>
      <c r="H150" s="12">
        <v>12.3147</v>
      </c>
      <c r="I150" s="19"/>
      <c r="J150" s="12"/>
    </row>
    <row r="151" spans="1:10" ht="56.25">
      <c r="A151" s="11" t="s">
        <v>231</v>
      </c>
      <c r="B151" s="11" t="s">
        <v>229</v>
      </c>
      <c r="C151" s="1">
        <v>33096978</v>
      </c>
      <c r="D151" s="18" t="s">
        <v>228</v>
      </c>
      <c r="E151" s="12">
        <v>11.9952</v>
      </c>
      <c r="F151" s="12">
        <f t="shared" si="0"/>
        <v>11.9952</v>
      </c>
      <c r="G151" s="19"/>
      <c r="H151" s="12">
        <v>11.9952</v>
      </c>
      <c r="I151" s="19"/>
      <c r="J151" s="12"/>
    </row>
    <row r="152" spans="1:10" ht="56.25">
      <c r="A152" s="11" t="s">
        <v>212</v>
      </c>
      <c r="B152" s="11" t="s">
        <v>213</v>
      </c>
      <c r="C152" s="1">
        <v>20509800</v>
      </c>
      <c r="D152" s="5" t="s">
        <v>214</v>
      </c>
      <c r="E152" s="12">
        <f>0.65617+2.51904</f>
        <v>3.17521</v>
      </c>
      <c r="F152" s="12">
        <f t="shared" si="0"/>
        <v>3.17521</v>
      </c>
      <c r="G152" s="19">
        <v>0.65617</v>
      </c>
      <c r="H152" s="12">
        <v>2.51904</v>
      </c>
      <c r="I152" s="19"/>
      <c r="J152" s="12"/>
    </row>
    <row r="153" spans="1:10" ht="56.25">
      <c r="A153" s="11" t="s">
        <v>330</v>
      </c>
      <c r="B153" s="11" t="s">
        <v>213</v>
      </c>
      <c r="C153" s="1">
        <v>20509800</v>
      </c>
      <c r="D153" s="5" t="s">
        <v>214</v>
      </c>
      <c r="E153" s="12">
        <f>1.5+1.5+1.5</f>
        <v>4.5</v>
      </c>
      <c r="F153" s="12">
        <f t="shared" si="0"/>
        <v>4.5</v>
      </c>
      <c r="G153" s="19">
        <v>3</v>
      </c>
      <c r="H153" s="12">
        <v>1.5</v>
      </c>
      <c r="I153" s="19"/>
      <c r="J153" s="12"/>
    </row>
    <row r="154" spans="1:10" ht="56.25">
      <c r="A154" s="11" t="s">
        <v>331</v>
      </c>
      <c r="B154" s="11" t="s">
        <v>213</v>
      </c>
      <c r="C154" s="1">
        <v>20509800</v>
      </c>
      <c r="D154" s="5" t="s">
        <v>214</v>
      </c>
      <c r="E154" s="12">
        <f>3.74709+1.8002</f>
        <v>5.54729</v>
      </c>
      <c r="F154" s="12">
        <f t="shared" si="0"/>
        <v>5.54729</v>
      </c>
      <c r="G154" s="19">
        <f>3.45454+0.29255+1.8002</f>
        <v>5.54729</v>
      </c>
      <c r="H154" s="12"/>
      <c r="I154" s="19"/>
      <c r="J154" s="12"/>
    </row>
    <row r="155" spans="1:10" ht="56.25">
      <c r="A155" s="11" t="s">
        <v>92</v>
      </c>
      <c r="B155" s="11" t="s">
        <v>93</v>
      </c>
      <c r="C155" s="26" t="s">
        <v>94</v>
      </c>
      <c r="D155" s="5" t="s">
        <v>95</v>
      </c>
      <c r="E155" s="12">
        <v>5.508</v>
      </c>
      <c r="F155" s="12">
        <f>SUM(G155:J155)</f>
        <v>4.392</v>
      </c>
      <c r="G155" s="19">
        <f>0.44064+0.88128+0.47736+0.95472+0.3885+1.092</f>
        <v>4.234500000000001</v>
      </c>
      <c r="H155" s="19">
        <v>0.1575</v>
      </c>
      <c r="I155" s="19"/>
      <c r="J155" s="12"/>
    </row>
    <row r="156" spans="1:10" ht="168.75">
      <c r="A156" s="11" t="s">
        <v>516</v>
      </c>
      <c r="B156" s="11" t="s">
        <v>515</v>
      </c>
      <c r="C156" s="1" t="s">
        <v>235</v>
      </c>
      <c r="D156" s="5" t="s">
        <v>520</v>
      </c>
      <c r="E156" s="12">
        <v>18.40353</v>
      </c>
      <c r="F156" s="12">
        <f t="shared" si="0"/>
        <v>18.40353</v>
      </c>
      <c r="G156" s="19"/>
      <c r="H156" s="12"/>
      <c r="I156" s="19">
        <v>18.40353</v>
      </c>
      <c r="J156" s="12"/>
    </row>
    <row r="157" spans="1:10" ht="37.5">
      <c r="A157" s="11" t="s">
        <v>232</v>
      </c>
      <c r="B157" s="11" t="s">
        <v>409</v>
      </c>
      <c r="C157" s="26" t="s">
        <v>235</v>
      </c>
      <c r="D157" s="5" t="s">
        <v>519</v>
      </c>
      <c r="E157" s="12">
        <v>5.046</v>
      </c>
      <c r="F157" s="12">
        <f t="shared" si="0"/>
        <v>5.046</v>
      </c>
      <c r="G157" s="19"/>
      <c r="H157" s="12"/>
      <c r="I157" s="19">
        <v>5.046</v>
      </c>
      <c r="J157" s="12"/>
    </row>
    <row r="158" spans="1:10" ht="93.75">
      <c r="A158" s="11" t="s">
        <v>232</v>
      </c>
      <c r="B158" s="11" t="s">
        <v>27</v>
      </c>
      <c r="C158" s="1" t="s">
        <v>233</v>
      </c>
      <c r="D158" s="5" t="s">
        <v>234</v>
      </c>
      <c r="E158" s="19" t="s">
        <v>235</v>
      </c>
      <c r="F158" s="12">
        <f t="shared" si="0"/>
        <v>275.13256</v>
      </c>
      <c r="G158" s="19"/>
      <c r="H158" s="12">
        <f>38.25245+29.36432+207.51579</f>
        <v>275.13256</v>
      </c>
      <c r="I158" s="19"/>
      <c r="J158" s="12"/>
    </row>
    <row r="159" spans="1:10" s="2" customFormat="1" ht="18.75">
      <c r="A159" s="49" t="s">
        <v>14</v>
      </c>
      <c r="B159" s="49"/>
      <c r="C159" s="49"/>
      <c r="D159" s="49"/>
      <c r="E159" s="13">
        <f aca="true" t="shared" si="2" ref="E159:J159">SUM(E11:E158)</f>
        <v>2066.3700100000015</v>
      </c>
      <c r="F159" s="13">
        <f t="shared" si="2"/>
        <v>2306.016820000001</v>
      </c>
      <c r="G159" s="13">
        <f t="shared" si="2"/>
        <v>383.84184000000005</v>
      </c>
      <c r="H159" s="13">
        <f t="shared" si="2"/>
        <v>420.08000000000004</v>
      </c>
      <c r="I159" s="13">
        <f t="shared" si="2"/>
        <v>1502.0949800000008</v>
      </c>
      <c r="J159" s="13">
        <f t="shared" si="2"/>
        <v>0</v>
      </c>
    </row>
    <row r="160" spans="1:10" s="2" customFormat="1" ht="18.75">
      <c r="A160" s="49" t="s">
        <v>96</v>
      </c>
      <c r="B160" s="49"/>
      <c r="C160" s="49"/>
      <c r="D160" s="49"/>
      <c r="E160" s="49"/>
      <c r="F160" s="49"/>
      <c r="G160" s="49"/>
      <c r="H160" s="49"/>
      <c r="I160" s="49"/>
      <c r="J160" s="49"/>
    </row>
    <row r="161" spans="1:10" s="2" customFormat="1" ht="75">
      <c r="A161" s="11" t="s">
        <v>99</v>
      </c>
      <c r="B161" s="14" t="s">
        <v>97</v>
      </c>
      <c r="C161" s="1">
        <v>31816235</v>
      </c>
      <c r="D161" s="5" t="s">
        <v>98</v>
      </c>
      <c r="E161" s="12">
        <v>756.5</v>
      </c>
      <c r="F161" s="12">
        <f aca="true" t="shared" si="3" ref="F161:F173">SUM(G161:J161)</f>
        <v>706.8655700000002</v>
      </c>
      <c r="G161" s="19">
        <f>40.86761+88.3375+38.26382+56.68277+50.35448+49.38267+51.00463+50.08644+49.85646+0.3138+5.10327+32.28221</f>
        <v>512.5356600000001</v>
      </c>
      <c r="H161" s="12"/>
      <c r="I161" s="19">
        <f>7+14.4724+10.84234+4.2197+3.8586+153.93687</f>
        <v>194.32991</v>
      </c>
      <c r="J161" s="12"/>
    </row>
    <row r="162" spans="1:10" s="2" customFormat="1" ht="75">
      <c r="A162" s="11" t="s">
        <v>144</v>
      </c>
      <c r="B162" s="5" t="s">
        <v>146</v>
      </c>
      <c r="C162" s="1">
        <v>39190161</v>
      </c>
      <c r="D162" s="5" t="s">
        <v>145</v>
      </c>
      <c r="E162" s="12">
        <v>20.14786</v>
      </c>
      <c r="F162" s="12">
        <f t="shared" si="3"/>
        <v>20.14786</v>
      </c>
      <c r="G162" s="19"/>
      <c r="H162" s="12"/>
      <c r="I162" s="19">
        <v>20.14786</v>
      </c>
      <c r="J162" s="13"/>
    </row>
    <row r="163" spans="1:10" s="2" customFormat="1" ht="116.25" customHeight="1">
      <c r="A163" s="11" t="s">
        <v>246</v>
      </c>
      <c r="B163" s="35" t="s">
        <v>245</v>
      </c>
      <c r="C163" s="1">
        <v>2684220493</v>
      </c>
      <c r="D163" s="36" t="s">
        <v>244</v>
      </c>
      <c r="E163" s="12">
        <v>15.02008</v>
      </c>
      <c r="F163" s="12">
        <f t="shared" si="3"/>
        <v>15.02008</v>
      </c>
      <c r="G163" s="19">
        <v>15.02008</v>
      </c>
      <c r="H163" s="12"/>
      <c r="I163" s="19"/>
      <c r="J163" s="13"/>
    </row>
    <row r="164" spans="1:10" s="2" customFormat="1" ht="65.25" customHeight="1">
      <c r="A164" s="11" t="s">
        <v>394</v>
      </c>
      <c r="B164" s="5" t="s">
        <v>396</v>
      </c>
      <c r="C164" s="34">
        <v>2377308265</v>
      </c>
      <c r="D164" s="5" t="s">
        <v>395</v>
      </c>
      <c r="E164" s="12">
        <v>34.1241</v>
      </c>
      <c r="F164" s="12">
        <f t="shared" si="3"/>
        <v>34.1241</v>
      </c>
      <c r="G164" s="19"/>
      <c r="H164" s="12"/>
      <c r="I164" s="19">
        <v>34.1241</v>
      </c>
      <c r="J164" s="13"/>
    </row>
    <row r="165" spans="1:10" s="2" customFormat="1" ht="78" customHeight="1">
      <c r="A165" s="11" t="s">
        <v>443</v>
      </c>
      <c r="B165" s="5" t="s">
        <v>445</v>
      </c>
      <c r="C165" s="30">
        <v>3187743</v>
      </c>
      <c r="D165" s="5" t="s">
        <v>444</v>
      </c>
      <c r="E165" s="12">
        <v>28.56</v>
      </c>
      <c r="F165" s="12">
        <f t="shared" si="3"/>
        <v>28.56</v>
      </c>
      <c r="G165" s="19"/>
      <c r="H165" s="12"/>
      <c r="I165" s="19">
        <v>28.56</v>
      </c>
      <c r="J165" s="13"/>
    </row>
    <row r="166" spans="1:10" s="2" customFormat="1" ht="78" customHeight="1">
      <c r="A166" s="11" t="s">
        <v>691</v>
      </c>
      <c r="B166" s="14" t="s">
        <v>97</v>
      </c>
      <c r="C166" s="1">
        <v>31816235</v>
      </c>
      <c r="D166" s="5" t="s">
        <v>145</v>
      </c>
      <c r="E166" s="12">
        <v>6.72269</v>
      </c>
      <c r="F166" s="12">
        <f t="shared" si="3"/>
        <v>6.23394</v>
      </c>
      <c r="G166" s="19">
        <v>6.23394</v>
      </c>
      <c r="H166" s="12"/>
      <c r="I166" s="19"/>
      <c r="J166" s="13"/>
    </row>
    <row r="167" spans="1:10" s="2" customFormat="1" ht="187.5" customHeight="1">
      <c r="A167" s="11" t="s">
        <v>684</v>
      </c>
      <c r="B167" s="14" t="s">
        <v>97</v>
      </c>
      <c r="C167" s="1">
        <v>31816235</v>
      </c>
      <c r="D167" s="5" t="s">
        <v>685</v>
      </c>
      <c r="E167" s="12">
        <v>3.06795</v>
      </c>
      <c r="F167" s="12">
        <f t="shared" si="3"/>
        <v>3.06795</v>
      </c>
      <c r="G167" s="19"/>
      <c r="H167" s="12"/>
      <c r="I167" s="19">
        <v>3.06795</v>
      </c>
      <c r="J167" s="13"/>
    </row>
    <row r="168" spans="1:10" s="2" customFormat="1" ht="290.25" customHeight="1">
      <c r="A168" s="11" t="s">
        <v>692</v>
      </c>
      <c r="B168" s="14" t="s">
        <v>97</v>
      </c>
      <c r="C168" s="1">
        <v>31816235</v>
      </c>
      <c r="D168" s="5" t="s">
        <v>693</v>
      </c>
      <c r="E168" s="12">
        <v>5.89595</v>
      </c>
      <c r="F168" s="12">
        <f t="shared" si="3"/>
        <v>4.64231</v>
      </c>
      <c r="G168" s="19">
        <v>4.64231</v>
      </c>
      <c r="H168" s="12"/>
      <c r="I168" s="19"/>
      <c r="J168" s="13"/>
    </row>
    <row r="169" spans="1:10" s="2" customFormat="1" ht="141" customHeight="1">
      <c r="A169" s="11" t="s">
        <v>686</v>
      </c>
      <c r="B169" s="14" t="s">
        <v>97</v>
      </c>
      <c r="C169" s="1">
        <v>31816235</v>
      </c>
      <c r="D169" s="5" t="s">
        <v>687</v>
      </c>
      <c r="E169" s="12">
        <v>3.69999</v>
      </c>
      <c r="F169" s="12">
        <f t="shared" si="3"/>
        <v>3.29169</v>
      </c>
      <c r="G169" s="19"/>
      <c r="H169" s="12"/>
      <c r="I169" s="19">
        <v>3.29169</v>
      </c>
      <c r="J169" s="13"/>
    </row>
    <row r="170" spans="1:10" s="2" customFormat="1" ht="217.5" customHeight="1">
      <c r="A170" s="11" t="s">
        <v>688</v>
      </c>
      <c r="B170" s="14" t="s">
        <v>689</v>
      </c>
      <c r="C170" s="34">
        <v>35809661</v>
      </c>
      <c r="D170" s="5" t="s">
        <v>690</v>
      </c>
      <c r="E170" s="12">
        <v>5.25712</v>
      </c>
      <c r="F170" s="12">
        <f t="shared" si="3"/>
        <v>5.25712</v>
      </c>
      <c r="G170" s="19"/>
      <c r="H170" s="12"/>
      <c r="I170" s="19">
        <v>5.25712</v>
      </c>
      <c r="J170" s="13"/>
    </row>
    <row r="171" spans="1:10" s="2" customFormat="1" ht="78" customHeight="1">
      <c r="A171" s="11" t="s">
        <v>510</v>
      </c>
      <c r="B171" s="5" t="s">
        <v>512</v>
      </c>
      <c r="C171" s="39">
        <v>40226798</v>
      </c>
      <c r="D171" s="40" t="s">
        <v>145</v>
      </c>
      <c r="E171" s="42">
        <v>8.508</v>
      </c>
      <c r="F171" s="12">
        <f t="shared" si="3"/>
        <v>6.78</v>
      </c>
      <c r="G171" s="19"/>
      <c r="H171" s="12"/>
      <c r="I171" s="19">
        <v>6.78</v>
      </c>
      <c r="J171" s="13"/>
    </row>
    <row r="172" spans="1:10" s="2" customFormat="1" ht="78" customHeight="1">
      <c r="A172" s="11" t="s">
        <v>511</v>
      </c>
      <c r="B172" s="5" t="s">
        <v>512</v>
      </c>
      <c r="C172" s="39">
        <v>40226798</v>
      </c>
      <c r="D172" s="40" t="s">
        <v>145</v>
      </c>
      <c r="E172" s="42">
        <v>2.178</v>
      </c>
      <c r="F172" s="12">
        <f t="shared" si="3"/>
        <v>2.178</v>
      </c>
      <c r="G172" s="19"/>
      <c r="H172" s="12"/>
      <c r="I172" s="19">
        <v>2.178</v>
      </c>
      <c r="J172" s="13"/>
    </row>
    <row r="173" spans="1:10" s="2" customFormat="1" ht="93.75">
      <c r="A173" s="11" t="s">
        <v>232</v>
      </c>
      <c r="B173" s="31" t="s">
        <v>236</v>
      </c>
      <c r="C173" s="34">
        <v>19282260</v>
      </c>
      <c r="D173" s="32" t="s">
        <v>237</v>
      </c>
      <c r="E173" s="12" t="s">
        <v>235</v>
      </c>
      <c r="F173" s="12">
        <f t="shared" si="3"/>
        <v>3.98416</v>
      </c>
      <c r="G173" s="19"/>
      <c r="H173" s="12"/>
      <c r="I173" s="19">
        <f>0.77612+1.15687+1.24329+0.80788</f>
        <v>3.98416</v>
      </c>
      <c r="J173" s="13"/>
    </row>
    <row r="174" spans="1:10" s="2" customFormat="1" ht="18.75">
      <c r="A174" s="49" t="s">
        <v>177</v>
      </c>
      <c r="B174" s="49"/>
      <c r="C174" s="49"/>
      <c r="D174" s="49"/>
      <c r="E174" s="28">
        <f aca="true" t="shared" si="4" ref="E174:J174">SUM(E161:E173)</f>
        <v>889.68174</v>
      </c>
      <c r="F174" s="28">
        <f t="shared" si="4"/>
        <v>840.15278</v>
      </c>
      <c r="G174" s="28">
        <f t="shared" si="4"/>
        <v>538.43199</v>
      </c>
      <c r="H174" s="28">
        <f t="shared" si="4"/>
        <v>0</v>
      </c>
      <c r="I174" s="28">
        <f t="shared" si="4"/>
        <v>301.72078999999997</v>
      </c>
      <c r="J174" s="28">
        <f t="shared" si="4"/>
        <v>0</v>
      </c>
    </row>
    <row r="175" spans="1:10" ht="18.75">
      <c r="A175" s="49" t="s">
        <v>12</v>
      </c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10" ht="112.5">
      <c r="A176" s="11" t="s">
        <v>59</v>
      </c>
      <c r="B176" s="11" t="s">
        <v>57</v>
      </c>
      <c r="C176" s="1">
        <v>30481856</v>
      </c>
      <c r="D176" s="18" t="s">
        <v>33</v>
      </c>
      <c r="E176" s="44">
        <v>736.2</v>
      </c>
      <c r="F176" s="12">
        <f aca="true" t="shared" si="5" ref="F176:F232">SUM(G176:J176)</f>
        <v>707.6227799999999</v>
      </c>
      <c r="G176" s="19">
        <f>23.63088+6.49686+47.34196+50.95587+38.67412+51.22256+61.91298+47.51272+51.33994+27.904</f>
        <v>406.99189</v>
      </c>
      <c r="H176" s="12"/>
      <c r="I176" s="19">
        <f>40.66581-3.93848+60.44028+60.37173+17.09624+14.80122+25.03958+2.11522+12.8628+21.6562+15.00129+34.519</f>
        <v>300.63088999999997</v>
      </c>
      <c r="J176" s="12"/>
    </row>
    <row r="177" spans="1:10" ht="93.75">
      <c r="A177" s="11" t="s">
        <v>58</v>
      </c>
      <c r="B177" s="11" t="s">
        <v>60</v>
      </c>
      <c r="C177" s="1">
        <v>34407781</v>
      </c>
      <c r="D177" s="18" t="s">
        <v>31</v>
      </c>
      <c r="E177" s="44">
        <v>13.6</v>
      </c>
      <c r="F177" s="12">
        <f t="shared" si="5"/>
        <v>13.62726</v>
      </c>
      <c r="G177" s="19">
        <v>6.81363</v>
      </c>
      <c r="H177" s="12"/>
      <c r="I177" s="19">
        <v>6.81363</v>
      </c>
      <c r="J177" s="12"/>
    </row>
    <row r="178" spans="1:10" ht="56.25">
      <c r="A178" s="11" t="s">
        <v>119</v>
      </c>
      <c r="B178" s="11" t="s">
        <v>77</v>
      </c>
      <c r="C178" s="1">
        <v>2808320048</v>
      </c>
      <c r="D178" s="18" t="s">
        <v>120</v>
      </c>
      <c r="E178" s="44">
        <v>11.655</v>
      </c>
      <c r="F178" s="12">
        <f t="shared" si="5"/>
        <v>10.489500000000001</v>
      </c>
      <c r="G178" s="19">
        <f>0.6993+1.3986+0.6993+1.3986+0.6993+1.1655+1.1655+1.1655+0.4662+0.4662</f>
        <v>9.324000000000002</v>
      </c>
      <c r="H178" s="12"/>
      <c r="I178" s="19">
        <f>0.6993+0.4662</f>
        <v>1.1655</v>
      </c>
      <c r="J178" s="12"/>
    </row>
    <row r="179" spans="1:10" ht="75">
      <c r="A179" s="11" t="s">
        <v>199</v>
      </c>
      <c r="B179" s="11" t="s">
        <v>60</v>
      </c>
      <c r="C179" s="1">
        <v>34407781</v>
      </c>
      <c r="D179" s="18" t="s">
        <v>200</v>
      </c>
      <c r="E179" s="44">
        <v>136.75</v>
      </c>
      <c r="F179" s="12">
        <f t="shared" si="5"/>
        <v>136.74200000000002</v>
      </c>
      <c r="G179" s="19">
        <f>55.59+37.4</f>
        <v>92.99000000000001</v>
      </c>
      <c r="H179" s="12"/>
      <c r="I179" s="19">
        <v>43.752</v>
      </c>
      <c r="J179" s="12"/>
    </row>
    <row r="180" spans="1:10" ht="93.75">
      <c r="A180" s="11" t="s">
        <v>114</v>
      </c>
      <c r="B180" s="11" t="s">
        <v>115</v>
      </c>
      <c r="C180" s="1">
        <v>2194012568</v>
      </c>
      <c r="D180" s="18" t="s">
        <v>113</v>
      </c>
      <c r="E180" s="44">
        <v>106.999</v>
      </c>
      <c r="F180" s="12">
        <f t="shared" si="5"/>
        <v>99.07365000000001</v>
      </c>
      <c r="G180" s="19">
        <f>11.5071+12.98274+11.24321+10.3181+12.23266+8.10334+10.69495</f>
        <v>77.08210000000001</v>
      </c>
      <c r="H180" s="12"/>
      <c r="I180" s="19">
        <f>12.20423+9.78732</f>
        <v>21.99155</v>
      </c>
      <c r="J180" s="12"/>
    </row>
    <row r="181" spans="1:10" ht="117" customHeight="1">
      <c r="A181" s="11" t="s">
        <v>63</v>
      </c>
      <c r="B181" s="11" t="s">
        <v>60</v>
      </c>
      <c r="C181" s="1">
        <v>34407781</v>
      </c>
      <c r="D181" s="18" t="s">
        <v>64</v>
      </c>
      <c r="E181" s="44">
        <v>72.54</v>
      </c>
      <c r="F181" s="12">
        <f t="shared" si="5"/>
        <v>53.39928</v>
      </c>
      <c r="G181" s="19">
        <f>7.95648+3.924+3.34524+2.628+8.95248+5.586+4.824+1.332+1.998+3.492</f>
        <v>44.038199999999996</v>
      </c>
      <c r="H181" s="12"/>
      <c r="I181" s="19">
        <f>2.739+3.79248+2.8296</f>
        <v>9.361080000000001</v>
      </c>
      <c r="J181" s="12"/>
    </row>
    <row r="182" spans="1:10" ht="80.25" customHeight="1">
      <c r="A182" s="11" t="s">
        <v>147</v>
      </c>
      <c r="B182" s="11" t="s">
        <v>60</v>
      </c>
      <c r="C182" s="1">
        <v>34407781</v>
      </c>
      <c r="D182" s="18" t="s">
        <v>148</v>
      </c>
      <c r="E182" s="44">
        <v>110.76</v>
      </c>
      <c r="F182" s="12">
        <f t="shared" si="5"/>
        <v>100.50503</v>
      </c>
      <c r="G182" s="19">
        <f>3.01392+11.52124+8.66134+7.01452+10.67715+10.022+8.8502+10.76196+2.12326+3.64282+4.38384</f>
        <v>80.67225</v>
      </c>
      <c r="H182" s="12"/>
      <c r="I182" s="19">
        <f>10.05052+6.5382+3.24406</f>
        <v>19.832780000000003</v>
      </c>
      <c r="J182" s="12"/>
    </row>
    <row r="183" spans="1:10" ht="75">
      <c r="A183" s="11" t="s">
        <v>61</v>
      </c>
      <c r="B183" s="11" t="s">
        <v>60</v>
      </c>
      <c r="C183" s="1">
        <v>34407781</v>
      </c>
      <c r="D183" s="18" t="s">
        <v>62</v>
      </c>
      <c r="E183" s="44">
        <v>5.8</v>
      </c>
      <c r="F183" s="12">
        <f t="shared" si="5"/>
        <v>5.7816</v>
      </c>
      <c r="G183" s="19">
        <v>5.7816</v>
      </c>
      <c r="H183" s="12"/>
      <c r="I183" s="19"/>
      <c r="J183" s="12"/>
    </row>
    <row r="184" spans="1:10" ht="117" customHeight="1">
      <c r="A184" s="11" t="s">
        <v>65</v>
      </c>
      <c r="B184" s="11" t="s">
        <v>60</v>
      </c>
      <c r="C184" s="1">
        <v>34407781</v>
      </c>
      <c r="D184" s="18" t="s">
        <v>66</v>
      </c>
      <c r="E184" s="44">
        <v>389.034</v>
      </c>
      <c r="F184" s="12">
        <f t="shared" si="5"/>
        <v>350.97094000000004</v>
      </c>
      <c r="G184" s="19">
        <f>13.99108+33.2979+25.74468+29.67653+34.53408+34.18531+35.42796+32.08626+5.4018+15.43752+15.58656</f>
        <v>275.36968</v>
      </c>
      <c r="H184" s="12"/>
      <c r="I184" s="19">
        <f>4.8735+33.31383+32.49993+4.914</f>
        <v>75.60126000000001</v>
      </c>
      <c r="J184" s="12"/>
    </row>
    <row r="185" spans="1:10" ht="80.25" customHeight="1">
      <c r="A185" s="11" t="s">
        <v>149</v>
      </c>
      <c r="B185" s="11" t="s">
        <v>150</v>
      </c>
      <c r="C185" s="1">
        <v>41674955</v>
      </c>
      <c r="D185" s="18" t="s">
        <v>151</v>
      </c>
      <c r="E185" s="44">
        <v>68.3</v>
      </c>
      <c r="F185" s="12">
        <f t="shared" si="5"/>
        <v>68.30000000000001</v>
      </c>
      <c r="G185" s="19">
        <f>14.0404+4.48</f>
        <v>18.520400000000002</v>
      </c>
      <c r="H185" s="12"/>
      <c r="I185" s="19">
        <f>25.297+18.951+5.5316</f>
        <v>49.7796</v>
      </c>
      <c r="J185" s="12"/>
    </row>
    <row r="186" spans="1:10" ht="75">
      <c r="A186" s="11" t="s">
        <v>67</v>
      </c>
      <c r="B186" s="11" t="s">
        <v>68</v>
      </c>
      <c r="C186" s="1">
        <v>38197742</v>
      </c>
      <c r="D186" s="5" t="s">
        <v>32</v>
      </c>
      <c r="E186" s="12">
        <v>97.5</v>
      </c>
      <c r="F186" s="12">
        <f t="shared" si="5"/>
        <v>87.66499999999999</v>
      </c>
      <c r="G186" s="19">
        <f>6.032+7.6104+16.9316+6.062+5.664+2.652+6.3+6.114+3.15+13.23</f>
        <v>73.746</v>
      </c>
      <c r="H186" s="12"/>
      <c r="I186" s="19">
        <f>5.5925+8.3265</f>
        <v>13.919</v>
      </c>
      <c r="J186" s="12"/>
    </row>
    <row r="187" spans="1:10" ht="75">
      <c r="A187" s="11" t="s">
        <v>69</v>
      </c>
      <c r="B187" s="11" t="s">
        <v>71</v>
      </c>
      <c r="C187" s="1">
        <v>41033603</v>
      </c>
      <c r="D187" s="5" t="s">
        <v>70</v>
      </c>
      <c r="E187" s="42">
        <f>354.57615-199.19316</f>
        <v>155.38298999999998</v>
      </c>
      <c r="F187" s="12">
        <f t="shared" si="5"/>
        <v>155.38299</v>
      </c>
      <c r="G187" s="19">
        <f>3.185+28.09752+18.45378+9.19786+21.386+3.52352+19.2753</f>
        <v>103.11898000000001</v>
      </c>
      <c r="H187" s="12"/>
      <c r="I187" s="19">
        <f>11.57495+4.5682+11.74723+10.02857+8.08707+3.05058+3.20741</f>
        <v>52.264010000000006</v>
      </c>
      <c r="J187" s="12"/>
    </row>
    <row r="188" spans="1:10" ht="78" customHeight="1">
      <c r="A188" s="11" t="s">
        <v>201</v>
      </c>
      <c r="B188" s="11" t="s">
        <v>74</v>
      </c>
      <c r="C188" s="1">
        <v>42498344</v>
      </c>
      <c r="D188" s="5" t="s">
        <v>202</v>
      </c>
      <c r="E188" s="42">
        <v>4.98</v>
      </c>
      <c r="F188" s="12">
        <f t="shared" si="5"/>
        <v>4.98</v>
      </c>
      <c r="G188" s="19"/>
      <c r="H188" s="12"/>
      <c r="I188" s="19">
        <f>4.98</f>
        <v>4.98</v>
      </c>
      <c r="J188" s="12"/>
    </row>
    <row r="189" spans="1:10" ht="75">
      <c r="A189" s="11" t="s">
        <v>152</v>
      </c>
      <c r="B189" s="11" t="s">
        <v>74</v>
      </c>
      <c r="C189" s="1">
        <v>42498344</v>
      </c>
      <c r="D189" s="5" t="s">
        <v>153</v>
      </c>
      <c r="E189" s="42">
        <v>22.38</v>
      </c>
      <c r="F189" s="12">
        <f t="shared" si="5"/>
        <v>22.38</v>
      </c>
      <c r="G189" s="19">
        <f>5.595+5.595</f>
        <v>11.19</v>
      </c>
      <c r="H189" s="12"/>
      <c r="I189" s="19">
        <f>5.595+5.595</f>
        <v>11.19</v>
      </c>
      <c r="J189" s="12"/>
    </row>
    <row r="190" spans="1:10" ht="75">
      <c r="A190" s="11" t="s">
        <v>72</v>
      </c>
      <c r="B190" s="11" t="s">
        <v>74</v>
      </c>
      <c r="C190" s="1">
        <v>42498344</v>
      </c>
      <c r="D190" s="5" t="s">
        <v>73</v>
      </c>
      <c r="E190" s="12">
        <v>26.619</v>
      </c>
      <c r="F190" s="12">
        <f t="shared" si="5"/>
        <v>26.619</v>
      </c>
      <c r="G190" s="19">
        <v>26.619</v>
      </c>
      <c r="H190" s="12"/>
      <c r="I190" s="19"/>
      <c r="J190" s="12"/>
    </row>
    <row r="191" spans="1:10" ht="93.75">
      <c r="A191" s="11" t="s">
        <v>75</v>
      </c>
      <c r="B191" s="11" t="s">
        <v>77</v>
      </c>
      <c r="C191" s="1">
        <v>2808320048</v>
      </c>
      <c r="D191" s="5" t="s">
        <v>76</v>
      </c>
      <c r="E191" s="12">
        <v>18.72</v>
      </c>
      <c r="F191" s="12">
        <f t="shared" si="5"/>
        <v>18.72</v>
      </c>
      <c r="G191" s="19">
        <f>2.16+3.6</f>
        <v>5.76</v>
      </c>
      <c r="H191" s="12"/>
      <c r="I191" s="19">
        <f>4.32+4.32+3.6+0.72</f>
        <v>12.96</v>
      </c>
      <c r="J191" s="12"/>
    </row>
    <row r="192" spans="1:10" ht="75">
      <c r="A192" s="11" t="s">
        <v>154</v>
      </c>
      <c r="B192" s="11" t="s">
        <v>155</v>
      </c>
      <c r="C192" s="1">
        <v>2251605227</v>
      </c>
      <c r="D192" s="5" t="s">
        <v>156</v>
      </c>
      <c r="E192" s="12">
        <f>3.96+4.23</f>
        <v>8.190000000000001</v>
      </c>
      <c r="F192" s="12">
        <f t="shared" si="5"/>
        <v>8.190000000000001</v>
      </c>
      <c r="G192" s="19">
        <v>4.23</v>
      </c>
      <c r="H192" s="12"/>
      <c r="I192" s="19">
        <v>3.96</v>
      </c>
      <c r="J192" s="12"/>
    </row>
    <row r="193" spans="1:10" ht="75">
      <c r="A193" s="11" t="s">
        <v>157</v>
      </c>
      <c r="B193" s="11" t="s">
        <v>158</v>
      </c>
      <c r="C193" s="1">
        <v>37408070</v>
      </c>
      <c r="D193" s="5" t="s">
        <v>159</v>
      </c>
      <c r="E193" s="12">
        <f>286.6482-0.1638</f>
        <v>286.4844</v>
      </c>
      <c r="F193" s="12">
        <f t="shared" si="5"/>
        <v>221.36609</v>
      </c>
      <c r="G193" s="19">
        <f>23.4984+11.19659+10.176+20.352+25.44+26.4576+22.3872+9.5115+12.2112</f>
        <v>161.23049</v>
      </c>
      <c r="H193" s="12"/>
      <c r="I193" s="19">
        <f>18.504+21.2796+10.176+10.176</f>
        <v>60.135600000000004</v>
      </c>
      <c r="J193" s="12"/>
    </row>
    <row r="194" spans="1:10" ht="115.5" customHeight="1">
      <c r="A194" s="11" t="s">
        <v>160</v>
      </c>
      <c r="B194" s="11" t="s">
        <v>162</v>
      </c>
      <c r="C194" s="1">
        <v>37521072</v>
      </c>
      <c r="D194" s="5" t="s">
        <v>161</v>
      </c>
      <c r="E194" s="12">
        <v>42.1245</v>
      </c>
      <c r="F194" s="12">
        <f t="shared" si="5"/>
        <v>42.1245</v>
      </c>
      <c r="G194" s="19"/>
      <c r="H194" s="12"/>
      <c r="I194" s="19">
        <v>42.1245</v>
      </c>
      <c r="J194" s="12"/>
    </row>
    <row r="195" spans="1:10" ht="60.75" customHeight="1">
      <c r="A195" s="11" t="s">
        <v>163</v>
      </c>
      <c r="B195" s="11" t="s">
        <v>77</v>
      </c>
      <c r="C195" s="1">
        <v>2808320048</v>
      </c>
      <c r="D195" s="5" t="s">
        <v>164</v>
      </c>
      <c r="E195" s="12">
        <v>18.6147</v>
      </c>
      <c r="F195" s="12">
        <f t="shared" si="5"/>
        <v>18.6147</v>
      </c>
      <c r="G195" s="19">
        <f>1.8648+5.5944+3.7296</f>
        <v>11.1888</v>
      </c>
      <c r="H195" s="12"/>
      <c r="I195" s="19">
        <f>1.8315+3.7296+1.8648</f>
        <v>7.4258999999999995</v>
      </c>
      <c r="J195" s="12"/>
    </row>
    <row r="196" spans="1:10" ht="92.25" customHeight="1">
      <c r="A196" s="11" t="s">
        <v>166</v>
      </c>
      <c r="B196" s="11" t="s">
        <v>165</v>
      </c>
      <c r="C196" s="1">
        <v>38993915</v>
      </c>
      <c r="D196" s="5" t="s">
        <v>167</v>
      </c>
      <c r="E196" s="12">
        <v>270.96</v>
      </c>
      <c r="F196" s="12">
        <f t="shared" si="5"/>
        <v>223.27714999999998</v>
      </c>
      <c r="G196" s="19">
        <f>20.45886+22.07128+9.6973+24.01944+21.71652+10.17732+11.61729+0.96+2.43243+6.78486</f>
        <v>129.93529999999998</v>
      </c>
      <c r="H196" s="12"/>
      <c r="I196" s="19">
        <f>11.74974+29.78144+5.45962+6.5537+14.19692+3.65602+3.39244+3.39+15.16197</f>
        <v>93.34185</v>
      </c>
      <c r="J196" s="12"/>
    </row>
    <row r="197" spans="1:10" ht="93" customHeight="1">
      <c r="A197" s="11" t="s">
        <v>187</v>
      </c>
      <c r="B197" s="11" t="s">
        <v>165</v>
      </c>
      <c r="C197" s="1">
        <v>38993915</v>
      </c>
      <c r="D197" s="5" t="s">
        <v>62</v>
      </c>
      <c r="E197" s="12">
        <v>237.6</v>
      </c>
      <c r="F197" s="12">
        <f t="shared" si="5"/>
        <v>237.60000000000002</v>
      </c>
      <c r="G197" s="19">
        <f>19.305+19.602+9.504+19.008+21.384+28.512+31.3632+4.752+19.008</f>
        <v>172.43820000000002</v>
      </c>
      <c r="H197" s="12"/>
      <c r="I197" s="19">
        <f>13.365+3.564+1.188+9.504+6.4152+9.504+9.504+12.1176</f>
        <v>65.1618</v>
      </c>
      <c r="J197" s="12"/>
    </row>
    <row r="198" spans="1:10" ht="97.5" customHeight="1">
      <c r="A198" s="11" t="s">
        <v>168</v>
      </c>
      <c r="B198" s="11" t="s">
        <v>170</v>
      </c>
      <c r="C198" s="1">
        <v>2543616535</v>
      </c>
      <c r="D198" s="5" t="s">
        <v>169</v>
      </c>
      <c r="E198" s="12">
        <v>26.7665</v>
      </c>
      <c r="F198" s="12">
        <f t="shared" si="5"/>
        <v>26.7665</v>
      </c>
      <c r="G198" s="19"/>
      <c r="H198" s="12"/>
      <c r="I198" s="19">
        <v>26.7665</v>
      </c>
      <c r="J198" s="12"/>
    </row>
    <row r="199" spans="1:10" ht="59.25" customHeight="1">
      <c r="A199" s="11" t="s">
        <v>204</v>
      </c>
      <c r="B199" s="11" t="s">
        <v>203</v>
      </c>
      <c r="C199" s="1">
        <v>3414807739</v>
      </c>
      <c r="D199" s="18" t="s">
        <v>206</v>
      </c>
      <c r="E199" s="12">
        <f>82.56-0.0228-0.2816-0.244</f>
        <v>82.0116</v>
      </c>
      <c r="F199" s="12">
        <f t="shared" si="5"/>
        <v>82.01158000000001</v>
      </c>
      <c r="G199" s="19">
        <f>2.9+35.52058</f>
        <v>38.42058</v>
      </c>
      <c r="H199" s="12"/>
      <c r="I199" s="19">
        <f>43.591</f>
        <v>43.591</v>
      </c>
      <c r="J199" s="12"/>
    </row>
    <row r="200" spans="1:10" ht="76.5" customHeight="1">
      <c r="A200" s="11" t="s">
        <v>205</v>
      </c>
      <c r="B200" s="11" t="s">
        <v>203</v>
      </c>
      <c r="C200" s="1">
        <v>3414807739</v>
      </c>
      <c r="D200" s="33" t="s">
        <v>207</v>
      </c>
      <c r="E200" s="12">
        <f>92.35-0.0155</f>
        <v>92.33449999999999</v>
      </c>
      <c r="F200" s="12">
        <f t="shared" si="5"/>
        <v>56.216499999999996</v>
      </c>
      <c r="G200" s="19">
        <f>13.25+5.8+2.85</f>
        <v>21.900000000000002</v>
      </c>
      <c r="H200" s="12"/>
      <c r="I200" s="19">
        <f>20.5+7.8265+5.99</f>
        <v>34.3165</v>
      </c>
      <c r="J200" s="12"/>
    </row>
    <row r="201" spans="1:10" ht="85.5" customHeight="1">
      <c r="A201" s="11" t="s">
        <v>197</v>
      </c>
      <c r="B201" s="11" t="s">
        <v>71</v>
      </c>
      <c r="C201" s="1">
        <v>41033603</v>
      </c>
      <c r="D201" s="5" t="s">
        <v>198</v>
      </c>
      <c r="E201" s="12">
        <v>320.31923</v>
      </c>
      <c r="F201" s="12">
        <f t="shared" si="5"/>
        <v>291.49677999999994</v>
      </c>
      <c r="G201" s="19">
        <f>41.85+38.502+37.76313+29.06196+32.83546+29.535+17.55183+8.679</f>
        <v>235.77837999999997</v>
      </c>
      <c r="H201" s="12"/>
      <c r="I201" s="19">
        <f>35.991+11.0484+8.679</f>
        <v>55.7184</v>
      </c>
      <c r="J201" s="12"/>
    </row>
    <row r="202" spans="1:10" ht="115.5" customHeight="1">
      <c r="A202" s="11" t="s">
        <v>208</v>
      </c>
      <c r="B202" s="11" t="s">
        <v>170</v>
      </c>
      <c r="C202" s="1">
        <v>2543616535</v>
      </c>
      <c r="D202" s="5" t="s">
        <v>209</v>
      </c>
      <c r="E202" s="12">
        <v>22.931</v>
      </c>
      <c r="F202" s="12">
        <f t="shared" si="5"/>
        <v>22.931</v>
      </c>
      <c r="G202" s="19">
        <f>11.4655</f>
        <v>11.4655</v>
      </c>
      <c r="H202" s="12"/>
      <c r="I202" s="19">
        <f>11.4655</f>
        <v>11.4655</v>
      </c>
      <c r="J202" s="12"/>
    </row>
    <row r="203" spans="1:10" ht="62.25" customHeight="1">
      <c r="A203" s="11" t="s">
        <v>292</v>
      </c>
      <c r="B203" s="11" t="s">
        <v>77</v>
      </c>
      <c r="C203" s="1">
        <v>2808320048</v>
      </c>
      <c r="D203" s="5" t="s">
        <v>73</v>
      </c>
      <c r="E203" s="12">
        <v>51.88</v>
      </c>
      <c r="F203" s="12">
        <f t="shared" si="5"/>
        <v>51.879999999999995</v>
      </c>
      <c r="G203" s="19">
        <f>25.05804+26.82196</f>
        <v>51.879999999999995</v>
      </c>
      <c r="H203" s="12"/>
      <c r="I203" s="19"/>
      <c r="J203" s="12"/>
    </row>
    <row r="204" spans="1:10" ht="56.25" customHeight="1">
      <c r="A204" s="11" t="s">
        <v>248</v>
      </c>
      <c r="B204" s="11" t="s">
        <v>77</v>
      </c>
      <c r="C204" s="1">
        <v>2808320048</v>
      </c>
      <c r="D204" s="5" t="s">
        <v>247</v>
      </c>
      <c r="E204" s="12">
        <v>54.9</v>
      </c>
      <c r="F204" s="12">
        <f t="shared" si="5"/>
        <v>54.900000000000006</v>
      </c>
      <c r="G204" s="19">
        <f>9.76+17.69+19.825+7.625</f>
        <v>54.900000000000006</v>
      </c>
      <c r="H204" s="12"/>
      <c r="I204" s="19"/>
      <c r="J204" s="12"/>
    </row>
    <row r="205" spans="1:10" ht="92.25" customHeight="1">
      <c r="A205" s="11" t="s">
        <v>250</v>
      </c>
      <c r="B205" s="11" t="s">
        <v>68</v>
      </c>
      <c r="C205" s="1">
        <v>38197742</v>
      </c>
      <c r="D205" s="5" t="s">
        <v>249</v>
      </c>
      <c r="E205" s="12">
        <v>71</v>
      </c>
      <c r="F205" s="12">
        <f t="shared" si="5"/>
        <v>41.721000000000004</v>
      </c>
      <c r="G205" s="19">
        <f>11.7+13.72+16.301</f>
        <v>41.721000000000004</v>
      </c>
      <c r="H205" s="12"/>
      <c r="I205" s="19"/>
      <c r="J205" s="12"/>
    </row>
    <row r="206" spans="1:10" ht="136.5" customHeight="1">
      <c r="A206" s="11" t="s">
        <v>252</v>
      </c>
      <c r="B206" s="11" t="s">
        <v>115</v>
      </c>
      <c r="C206" s="1">
        <v>2194012568</v>
      </c>
      <c r="D206" s="5" t="s">
        <v>251</v>
      </c>
      <c r="E206" s="12">
        <f>379.5-0.1864</f>
        <v>379.3136</v>
      </c>
      <c r="F206" s="12">
        <f t="shared" si="5"/>
        <v>379.31360000000006</v>
      </c>
      <c r="G206" s="19">
        <f>72.5238+97.15404+5.46+77.412+82.2336</f>
        <v>334.78344000000004</v>
      </c>
      <c r="H206" s="12"/>
      <c r="I206" s="19">
        <f>36.73016+7.8</f>
        <v>44.530159999999995</v>
      </c>
      <c r="J206" s="12"/>
    </row>
    <row r="207" spans="1:10" ht="79.5" customHeight="1">
      <c r="A207" s="11" t="s">
        <v>293</v>
      </c>
      <c r="B207" s="11" t="s">
        <v>155</v>
      </c>
      <c r="C207" s="1">
        <v>2251605227</v>
      </c>
      <c r="D207" s="5" t="s">
        <v>294</v>
      </c>
      <c r="E207" s="12">
        <v>28.75</v>
      </c>
      <c r="F207" s="12">
        <f t="shared" si="5"/>
        <v>28.75</v>
      </c>
      <c r="G207" s="19">
        <v>28.75</v>
      </c>
      <c r="H207" s="12"/>
      <c r="I207" s="19"/>
      <c r="J207" s="12"/>
    </row>
    <row r="208" spans="1:10" ht="93" customHeight="1">
      <c r="A208" s="11" t="s">
        <v>295</v>
      </c>
      <c r="B208" s="11" t="s">
        <v>296</v>
      </c>
      <c r="C208" s="1">
        <v>2903605615</v>
      </c>
      <c r="D208" s="5" t="s">
        <v>76</v>
      </c>
      <c r="E208" s="12">
        <v>15.6312</v>
      </c>
      <c r="F208" s="12">
        <f t="shared" si="5"/>
        <v>15.6312</v>
      </c>
      <c r="G208" s="19">
        <f>5.35569+3.006+5.4108+1.8036+0.05511</f>
        <v>15.6312</v>
      </c>
      <c r="H208" s="12"/>
      <c r="I208" s="19"/>
      <c r="J208" s="12"/>
    </row>
    <row r="209" spans="1:10" ht="79.5" customHeight="1">
      <c r="A209" s="11" t="s">
        <v>297</v>
      </c>
      <c r="B209" s="11" t="s">
        <v>77</v>
      </c>
      <c r="C209" s="1">
        <v>2808320048</v>
      </c>
      <c r="D209" s="5" t="s">
        <v>202</v>
      </c>
      <c r="E209" s="12">
        <v>44.876</v>
      </c>
      <c r="F209" s="12">
        <f t="shared" si="5"/>
        <v>40.80200000000001</v>
      </c>
      <c r="G209" s="19">
        <f>16.702+1.35+5.07+1.216+2.7+1.35+6.42+2.274</f>
        <v>37.08200000000001</v>
      </c>
      <c r="H209" s="12"/>
      <c r="I209" s="19">
        <f>3.72</f>
        <v>3.72</v>
      </c>
      <c r="J209" s="12"/>
    </row>
    <row r="210" spans="1:10" ht="63.75" customHeight="1">
      <c r="A210" s="11" t="s">
        <v>420</v>
      </c>
      <c r="B210" s="11" t="s">
        <v>203</v>
      </c>
      <c r="C210" s="1">
        <v>3414807739</v>
      </c>
      <c r="D210" s="5" t="s">
        <v>421</v>
      </c>
      <c r="E210" s="12">
        <v>158.7715</v>
      </c>
      <c r="F210" s="12">
        <f t="shared" si="5"/>
        <v>158.49934000000002</v>
      </c>
      <c r="G210" s="19">
        <f>52.7379+63.17794+45.6435-3.06</f>
        <v>158.49934000000002</v>
      </c>
      <c r="H210" s="12"/>
      <c r="I210" s="19"/>
      <c r="J210" s="12"/>
    </row>
    <row r="211" spans="1:10" ht="76.5" customHeight="1">
      <c r="A211" s="11" t="s">
        <v>323</v>
      </c>
      <c r="B211" s="11" t="s">
        <v>203</v>
      </c>
      <c r="C211" s="1">
        <v>3414807739</v>
      </c>
      <c r="D211" s="5" t="s">
        <v>324</v>
      </c>
      <c r="E211" s="12">
        <v>346.381</v>
      </c>
      <c r="F211" s="12">
        <f t="shared" si="5"/>
        <v>345.1410000000001</v>
      </c>
      <c r="G211" s="19">
        <f>64.62+77.414+56.55+57.29+31.827+18.1</f>
        <v>305.80100000000004</v>
      </c>
      <c r="H211" s="12"/>
      <c r="I211" s="19">
        <f>26.8+9.48+3.06</f>
        <v>39.34</v>
      </c>
      <c r="J211" s="12"/>
    </row>
    <row r="212" spans="1:10" ht="61.5" customHeight="1">
      <c r="A212" s="11" t="s">
        <v>397</v>
      </c>
      <c r="B212" s="11" t="s">
        <v>399</v>
      </c>
      <c r="C212" s="1">
        <v>3265510172</v>
      </c>
      <c r="D212" s="5" t="s">
        <v>398</v>
      </c>
      <c r="E212" s="12">
        <v>107.76</v>
      </c>
      <c r="F212" s="12">
        <f t="shared" si="5"/>
        <v>107.76</v>
      </c>
      <c r="G212" s="19"/>
      <c r="H212" s="12"/>
      <c r="I212" s="19">
        <v>107.76</v>
      </c>
      <c r="J212" s="12"/>
    </row>
    <row r="213" spans="1:10" ht="78" customHeight="1">
      <c r="A213" s="11" t="s">
        <v>353</v>
      </c>
      <c r="B213" s="11" t="s">
        <v>155</v>
      </c>
      <c r="C213" s="1">
        <v>2251605227</v>
      </c>
      <c r="D213" s="5" t="s">
        <v>354</v>
      </c>
      <c r="E213" s="12">
        <f>11.448+7.125</f>
        <v>18.573</v>
      </c>
      <c r="F213" s="12">
        <f t="shared" si="5"/>
        <v>18.573</v>
      </c>
      <c r="G213" s="19">
        <v>11.448</v>
      </c>
      <c r="H213" s="12"/>
      <c r="I213" s="19">
        <v>7.125</v>
      </c>
      <c r="J213" s="12"/>
    </row>
    <row r="214" spans="1:10" ht="78" customHeight="1">
      <c r="A214" s="11" t="s">
        <v>422</v>
      </c>
      <c r="B214" s="11" t="s">
        <v>423</v>
      </c>
      <c r="C214" s="1">
        <v>41021488</v>
      </c>
      <c r="D214" s="5" t="s">
        <v>153</v>
      </c>
      <c r="E214" s="12">
        <v>42.75</v>
      </c>
      <c r="F214" s="12">
        <f t="shared" si="5"/>
        <v>42.75</v>
      </c>
      <c r="G214" s="19">
        <f>21.375+21.375</f>
        <v>42.75</v>
      </c>
      <c r="H214" s="12"/>
      <c r="I214" s="19"/>
      <c r="J214" s="12"/>
    </row>
    <row r="215" spans="1:10" ht="78" customHeight="1">
      <c r="A215" s="11" t="s">
        <v>424</v>
      </c>
      <c r="B215" s="11" t="s">
        <v>423</v>
      </c>
      <c r="C215" s="1">
        <v>41021488</v>
      </c>
      <c r="D215" s="5" t="s">
        <v>475</v>
      </c>
      <c r="E215" s="12">
        <v>93.64</v>
      </c>
      <c r="F215" s="12">
        <f t="shared" si="5"/>
        <v>87.96440999999999</v>
      </c>
      <c r="G215" s="19">
        <f>16.48928+29.06381+10.5+18.5606+13.35072</f>
        <v>87.96440999999999</v>
      </c>
      <c r="H215" s="12"/>
      <c r="I215" s="19"/>
      <c r="J215" s="12"/>
    </row>
    <row r="216" spans="1:10" ht="63.75" customHeight="1">
      <c r="A216" s="11" t="s">
        <v>487</v>
      </c>
      <c r="B216" s="11" t="s">
        <v>488</v>
      </c>
      <c r="C216" s="1">
        <v>2507817574</v>
      </c>
      <c r="D216" s="5" t="s">
        <v>489</v>
      </c>
      <c r="E216" s="12">
        <v>52.5</v>
      </c>
      <c r="F216" s="12">
        <f t="shared" si="5"/>
        <v>31.5</v>
      </c>
      <c r="G216" s="19">
        <f>10.5+10.5</f>
        <v>21</v>
      </c>
      <c r="H216" s="12"/>
      <c r="I216" s="19">
        <v>10.5</v>
      </c>
      <c r="J216" s="12"/>
    </row>
    <row r="217" spans="1:10" ht="93" customHeight="1">
      <c r="A217" s="11" t="s">
        <v>552</v>
      </c>
      <c r="B217" s="11" t="s">
        <v>553</v>
      </c>
      <c r="C217" s="1">
        <v>2903605615</v>
      </c>
      <c r="D217" s="5" t="s">
        <v>76</v>
      </c>
      <c r="E217" s="12">
        <v>29.85</v>
      </c>
      <c r="F217" s="12">
        <f t="shared" si="5"/>
        <v>28.410000000000004</v>
      </c>
      <c r="G217" s="19">
        <f>6.4476+10.5+4.2984+2.1492+2.8656</f>
        <v>26.260800000000003</v>
      </c>
      <c r="H217" s="12"/>
      <c r="I217" s="19">
        <v>2.1492</v>
      </c>
      <c r="J217" s="12"/>
    </row>
    <row r="218" spans="1:10" ht="84" customHeight="1">
      <c r="A218" s="11" t="s">
        <v>547</v>
      </c>
      <c r="B218" s="11" t="s">
        <v>155</v>
      </c>
      <c r="C218" s="1">
        <v>2251605227</v>
      </c>
      <c r="D218" s="5" t="s">
        <v>548</v>
      </c>
      <c r="E218" s="12">
        <v>3.4</v>
      </c>
      <c r="F218" s="12">
        <f t="shared" si="5"/>
        <v>3.4</v>
      </c>
      <c r="G218" s="19"/>
      <c r="H218" s="12"/>
      <c r="I218" s="19">
        <v>3.4</v>
      </c>
      <c r="J218" s="12"/>
    </row>
    <row r="219" spans="1:10" ht="84" customHeight="1">
      <c r="A219" s="11" t="s">
        <v>596</v>
      </c>
      <c r="B219" s="11" t="s">
        <v>423</v>
      </c>
      <c r="C219" s="1">
        <v>41021488</v>
      </c>
      <c r="D219" s="5" t="s">
        <v>597</v>
      </c>
      <c r="E219" s="12">
        <v>103.992</v>
      </c>
      <c r="F219" s="12">
        <f t="shared" si="5"/>
        <v>39.03412</v>
      </c>
      <c r="G219" s="19">
        <f>12.52492+11.9436+14.5656</f>
        <v>39.03412</v>
      </c>
      <c r="H219" s="12"/>
      <c r="I219" s="19"/>
      <c r="J219" s="12"/>
    </row>
    <row r="220" spans="1:10" ht="84" customHeight="1">
      <c r="A220" s="11" t="s">
        <v>583</v>
      </c>
      <c r="B220" s="11" t="s">
        <v>584</v>
      </c>
      <c r="C220" s="1">
        <v>2584003090</v>
      </c>
      <c r="D220" s="5" t="s">
        <v>585</v>
      </c>
      <c r="E220" s="12">
        <v>94.642</v>
      </c>
      <c r="F220" s="12">
        <f t="shared" si="5"/>
        <v>59.9</v>
      </c>
      <c r="G220" s="19">
        <f>8.985+47.92</f>
        <v>56.905</v>
      </c>
      <c r="H220" s="12"/>
      <c r="I220" s="19">
        <v>2.995</v>
      </c>
      <c r="J220" s="12"/>
    </row>
    <row r="221" spans="1:10" ht="84" customHeight="1">
      <c r="A221" s="11" t="s">
        <v>586</v>
      </c>
      <c r="B221" s="11" t="s">
        <v>584</v>
      </c>
      <c r="C221" s="1">
        <v>2584003090</v>
      </c>
      <c r="D221" s="5" t="s">
        <v>587</v>
      </c>
      <c r="E221" s="12">
        <v>196.56</v>
      </c>
      <c r="F221" s="12">
        <f t="shared" si="5"/>
        <v>196.56</v>
      </c>
      <c r="G221" s="19"/>
      <c r="H221" s="12"/>
      <c r="I221" s="19">
        <v>196.56</v>
      </c>
      <c r="J221" s="12"/>
    </row>
    <row r="222" spans="1:10" ht="84" customHeight="1">
      <c r="A222" s="11" t="s">
        <v>598</v>
      </c>
      <c r="B222" s="11" t="s">
        <v>599</v>
      </c>
      <c r="C222" s="1">
        <v>39983384</v>
      </c>
      <c r="D222" s="5" t="s">
        <v>600</v>
      </c>
      <c r="E222" s="12">
        <v>6.96</v>
      </c>
      <c r="F222" s="12">
        <f t="shared" si="5"/>
        <v>6.96</v>
      </c>
      <c r="G222" s="19">
        <v>6.96</v>
      </c>
      <c r="H222" s="12"/>
      <c r="I222" s="19"/>
      <c r="J222" s="12"/>
    </row>
    <row r="223" spans="1:10" ht="84" customHeight="1">
      <c r="A223" s="11" t="s">
        <v>588</v>
      </c>
      <c r="B223" s="11" t="s">
        <v>589</v>
      </c>
      <c r="C223" s="1">
        <v>2798617232</v>
      </c>
      <c r="D223" s="5" t="s">
        <v>590</v>
      </c>
      <c r="E223" s="12">
        <v>9.209</v>
      </c>
      <c r="F223" s="12">
        <f t="shared" si="5"/>
        <v>9.209</v>
      </c>
      <c r="G223" s="19"/>
      <c r="H223" s="12"/>
      <c r="I223" s="19">
        <v>9.209</v>
      </c>
      <c r="J223" s="12"/>
    </row>
    <row r="224" spans="1:10" ht="84" customHeight="1">
      <c r="A224" s="11" t="s">
        <v>652</v>
      </c>
      <c r="B224" s="11" t="s">
        <v>155</v>
      </c>
      <c r="C224" s="1">
        <v>2251605227</v>
      </c>
      <c r="D224" s="5" t="s">
        <v>653</v>
      </c>
      <c r="E224" s="12">
        <v>47.4</v>
      </c>
      <c r="F224" s="12">
        <f t="shared" si="5"/>
        <v>47.4</v>
      </c>
      <c r="G224" s="19">
        <f>13.193+14.062</f>
        <v>27.255</v>
      </c>
      <c r="H224" s="12"/>
      <c r="I224" s="19">
        <v>20.145</v>
      </c>
      <c r="J224" s="12"/>
    </row>
    <row r="225" spans="1:10" ht="104.25" customHeight="1">
      <c r="A225" s="11" t="s">
        <v>654</v>
      </c>
      <c r="B225" s="11" t="s">
        <v>713</v>
      </c>
      <c r="C225" s="1">
        <v>2584003090</v>
      </c>
      <c r="D225" s="5" t="s">
        <v>655</v>
      </c>
      <c r="E225" s="12">
        <v>83.986</v>
      </c>
      <c r="F225" s="12">
        <f t="shared" si="5"/>
        <v>37.673719999999996</v>
      </c>
      <c r="G225" s="19">
        <f>9.11848+10.55824+10.7982</f>
        <v>30.474919999999997</v>
      </c>
      <c r="H225" s="12"/>
      <c r="I225" s="19">
        <v>7.1988</v>
      </c>
      <c r="J225" s="12"/>
    </row>
    <row r="226" spans="1:10" ht="104.25" customHeight="1">
      <c r="A226" s="11" t="s">
        <v>656</v>
      </c>
      <c r="B226" s="11" t="s">
        <v>660</v>
      </c>
      <c r="C226" s="1">
        <v>2855615637</v>
      </c>
      <c r="D226" s="5" t="s">
        <v>658</v>
      </c>
      <c r="E226" s="12">
        <v>9.554</v>
      </c>
      <c r="F226" s="12">
        <f t="shared" si="5"/>
        <v>9.554</v>
      </c>
      <c r="G226" s="19"/>
      <c r="H226" s="12"/>
      <c r="I226" s="19">
        <v>9.554</v>
      </c>
      <c r="J226" s="12"/>
    </row>
    <row r="227" spans="1:10" ht="104.25" customHeight="1">
      <c r="A227" s="11" t="s">
        <v>659</v>
      </c>
      <c r="B227" s="11" t="s">
        <v>657</v>
      </c>
      <c r="C227" s="1">
        <v>39949597</v>
      </c>
      <c r="D227" s="5" t="s">
        <v>661</v>
      </c>
      <c r="E227" s="12">
        <v>10.88</v>
      </c>
      <c r="F227" s="12">
        <f t="shared" si="5"/>
        <v>10.88</v>
      </c>
      <c r="G227" s="19"/>
      <c r="H227" s="12"/>
      <c r="I227" s="19">
        <v>10.88</v>
      </c>
      <c r="J227" s="12"/>
    </row>
    <row r="228" spans="1:10" ht="104.25" customHeight="1">
      <c r="A228" s="11" t="s">
        <v>697</v>
      </c>
      <c r="B228" s="11" t="s">
        <v>698</v>
      </c>
      <c r="C228" s="1">
        <v>2588814009</v>
      </c>
      <c r="D228" s="5" t="s">
        <v>699</v>
      </c>
      <c r="E228" s="12">
        <v>33.6</v>
      </c>
      <c r="F228" s="12">
        <f t="shared" si="5"/>
        <v>33.6</v>
      </c>
      <c r="G228" s="19">
        <v>33.6</v>
      </c>
      <c r="H228" s="12"/>
      <c r="I228" s="19"/>
      <c r="J228" s="12"/>
    </row>
    <row r="229" spans="1:10" ht="104.25" customHeight="1">
      <c r="A229" s="11" t="s">
        <v>694</v>
      </c>
      <c r="B229" s="11" t="s">
        <v>695</v>
      </c>
      <c r="C229" s="1">
        <v>2498905628</v>
      </c>
      <c r="D229" s="5" t="s">
        <v>696</v>
      </c>
      <c r="E229" s="12">
        <v>42.5</v>
      </c>
      <c r="F229" s="12">
        <f t="shared" si="5"/>
        <v>8.5</v>
      </c>
      <c r="G229" s="19">
        <v>8.5</v>
      </c>
      <c r="H229" s="12"/>
      <c r="I229" s="19"/>
      <c r="J229" s="12"/>
    </row>
    <row r="230" spans="1:10" ht="93.75" customHeight="1">
      <c r="A230" s="15" t="s">
        <v>485</v>
      </c>
      <c r="B230" s="11" t="s">
        <v>486</v>
      </c>
      <c r="C230" s="1">
        <v>3188582</v>
      </c>
      <c r="D230" s="5" t="s">
        <v>218</v>
      </c>
      <c r="E230" s="12">
        <v>2.87505</v>
      </c>
      <c r="F230" s="12">
        <f t="shared" si="5"/>
        <v>2.87505</v>
      </c>
      <c r="G230" s="19">
        <v>2.87505</v>
      </c>
      <c r="H230" s="12"/>
      <c r="I230" s="19"/>
      <c r="J230" s="12"/>
    </row>
    <row r="231" spans="1:10" ht="44.25" customHeight="1">
      <c r="A231" s="11" t="s">
        <v>232</v>
      </c>
      <c r="B231" s="11" t="s">
        <v>409</v>
      </c>
      <c r="C231" s="1" t="s">
        <v>235</v>
      </c>
      <c r="D231" s="5" t="s">
        <v>410</v>
      </c>
      <c r="E231" s="12" t="s">
        <v>235</v>
      </c>
      <c r="F231" s="12">
        <f t="shared" si="5"/>
        <v>32.628</v>
      </c>
      <c r="G231" s="19"/>
      <c r="H231" s="12"/>
      <c r="I231" s="19">
        <v>32.628</v>
      </c>
      <c r="J231" s="12"/>
    </row>
    <row r="232" spans="1:10" ht="91.5" customHeight="1">
      <c r="A232" s="11" t="s">
        <v>232</v>
      </c>
      <c r="B232" s="11" t="s">
        <v>27</v>
      </c>
      <c r="C232" s="1" t="s">
        <v>233</v>
      </c>
      <c r="D232" s="5" t="s">
        <v>234</v>
      </c>
      <c r="E232" s="19" t="s">
        <v>235</v>
      </c>
      <c r="F232" s="12">
        <f t="shared" si="5"/>
        <v>380.11635</v>
      </c>
      <c r="G232" s="19"/>
      <c r="H232" s="12">
        <f>168.1049+87.28368+57.03819+67.68958</f>
        <v>380.11635</v>
      </c>
      <c r="I232" s="19"/>
      <c r="J232" s="12"/>
    </row>
    <row r="233" spans="1:10" s="2" customFormat="1" ht="18.75">
      <c r="A233" s="49" t="s">
        <v>15</v>
      </c>
      <c r="B233" s="49"/>
      <c r="C233" s="49"/>
      <c r="D233" s="49"/>
      <c r="E233" s="13">
        <f aca="true" t="shared" si="6" ref="E233:J233">SUM(E176:E232)</f>
        <v>5527.690770000002</v>
      </c>
      <c r="F233" s="13">
        <f t="shared" si="6"/>
        <v>5404.739619999999</v>
      </c>
      <c r="G233" s="43">
        <f>SUM(G176:G232)</f>
        <v>3448.6802599999996</v>
      </c>
      <c r="H233" s="13">
        <f t="shared" si="6"/>
        <v>380.11635</v>
      </c>
      <c r="I233" s="13">
        <f t="shared" si="6"/>
        <v>1575.9430100000002</v>
      </c>
      <c r="J233" s="13">
        <f t="shared" si="6"/>
        <v>0</v>
      </c>
    </row>
    <row r="234" spans="1:10" ht="18.75">
      <c r="A234" s="49" t="s">
        <v>13</v>
      </c>
      <c r="B234" s="49"/>
      <c r="C234" s="49"/>
      <c r="D234" s="49"/>
      <c r="E234" s="49"/>
      <c r="F234" s="49"/>
      <c r="G234" s="49"/>
      <c r="H234" s="49"/>
      <c r="I234" s="49"/>
      <c r="J234" s="49"/>
    </row>
    <row r="235" spans="1:10" ht="168.75">
      <c r="A235" s="5" t="s">
        <v>78</v>
      </c>
      <c r="B235" s="11" t="s">
        <v>36</v>
      </c>
      <c r="C235" s="1">
        <v>2811012290</v>
      </c>
      <c r="D235" s="25" t="s">
        <v>79</v>
      </c>
      <c r="E235" s="19">
        <v>71.7</v>
      </c>
      <c r="F235" s="12">
        <f aca="true" t="shared" si="7" ref="F235:F281">SUM(G235:J235)</f>
        <v>71.66980000000001</v>
      </c>
      <c r="G235" s="19">
        <f>4.766+16.9794</f>
        <v>21.745399999999997</v>
      </c>
      <c r="H235" s="25">
        <f>16.905+8.105+1.812+8.1744+9.234+5.694</f>
        <v>49.924400000000006</v>
      </c>
      <c r="I235" s="23"/>
      <c r="J235" s="23"/>
    </row>
    <row r="236" spans="1:10" ht="65.25" customHeight="1">
      <c r="A236" s="15" t="s">
        <v>34</v>
      </c>
      <c r="B236" s="14" t="s">
        <v>26</v>
      </c>
      <c r="C236" s="1">
        <v>2708008658</v>
      </c>
      <c r="D236" s="14" t="s">
        <v>35</v>
      </c>
      <c r="E236" s="12">
        <f>0.75+2.25</f>
        <v>3</v>
      </c>
      <c r="F236" s="12">
        <f t="shared" si="7"/>
        <v>2.25</v>
      </c>
      <c r="G236" s="19">
        <f>0.25+0.25+0.25+0.25+0.25+0.25+0.25+0.25+0.25</f>
        <v>2.25</v>
      </c>
      <c r="H236" s="12"/>
      <c r="I236" s="19"/>
      <c r="J236" s="12"/>
    </row>
    <row r="237" spans="1:10" ht="63.75" customHeight="1">
      <c r="A237" s="15" t="s">
        <v>101</v>
      </c>
      <c r="B237" s="14" t="s">
        <v>25</v>
      </c>
      <c r="C237" s="1">
        <v>33794989</v>
      </c>
      <c r="D237" s="14" t="s">
        <v>100</v>
      </c>
      <c r="E237" s="12">
        <v>12.8</v>
      </c>
      <c r="F237" s="12">
        <f t="shared" si="7"/>
        <v>12.79715</v>
      </c>
      <c r="G237" s="19">
        <f>1.397+0.95+3.696+0.762+1.287+1.131+2.021+1.55315</f>
        <v>12.79715</v>
      </c>
      <c r="H237" s="12"/>
      <c r="I237" s="19"/>
      <c r="J237" s="12"/>
    </row>
    <row r="238" spans="1:10" ht="63" customHeight="1">
      <c r="A238" s="15" t="s">
        <v>83</v>
      </c>
      <c r="B238" s="14" t="s">
        <v>80</v>
      </c>
      <c r="C238" s="1" t="s">
        <v>81</v>
      </c>
      <c r="D238" s="14" t="s">
        <v>82</v>
      </c>
      <c r="E238" s="12">
        <v>3.6193</v>
      </c>
      <c r="F238" s="12">
        <f t="shared" si="7"/>
        <v>2.7644</v>
      </c>
      <c r="G238" s="19">
        <f>0.32871+0.24442+0.0651+0.22267+0.18447+0.46147+0.12523+0.08319+0.36364+0.20565+0.34275+0.1371</f>
        <v>2.7644</v>
      </c>
      <c r="H238" s="12"/>
      <c r="I238" s="19"/>
      <c r="J238" s="12"/>
    </row>
    <row r="239" spans="1:10" ht="135" customHeight="1">
      <c r="A239" s="15" t="s">
        <v>89</v>
      </c>
      <c r="B239" s="14" t="s">
        <v>87</v>
      </c>
      <c r="C239" s="26" t="s">
        <v>138</v>
      </c>
      <c r="D239" s="18" t="s">
        <v>88</v>
      </c>
      <c r="E239" s="12">
        <v>4.01958</v>
      </c>
      <c r="F239" s="12">
        <f t="shared" si="7"/>
        <v>4.01958</v>
      </c>
      <c r="G239" s="19">
        <v>4.01958</v>
      </c>
      <c r="H239" s="12"/>
      <c r="I239" s="19"/>
      <c r="J239" s="12"/>
    </row>
    <row r="240" spans="1:10" ht="75.75" customHeight="1">
      <c r="A240" s="15" t="s">
        <v>91</v>
      </c>
      <c r="B240" s="14" t="s">
        <v>87</v>
      </c>
      <c r="C240" s="26" t="s">
        <v>138</v>
      </c>
      <c r="D240" s="18" t="s">
        <v>90</v>
      </c>
      <c r="E240" s="12">
        <v>0.7344</v>
      </c>
      <c r="F240" s="12">
        <f t="shared" si="7"/>
        <v>0.7344</v>
      </c>
      <c r="G240" s="19">
        <v>0.7344</v>
      </c>
      <c r="H240" s="12"/>
      <c r="I240" s="19"/>
      <c r="J240" s="12"/>
    </row>
    <row r="241" spans="1:10" ht="187.5">
      <c r="A241" s="15" t="s">
        <v>111</v>
      </c>
      <c r="B241" s="14" t="s">
        <v>109</v>
      </c>
      <c r="C241" s="1">
        <v>38461727</v>
      </c>
      <c r="D241" s="5" t="s">
        <v>110</v>
      </c>
      <c r="E241" s="12">
        <f>2.15093+2.27042</f>
        <v>4.42135</v>
      </c>
      <c r="F241" s="12">
        <f t="shared" si="7"/>
        <v>4.42135</v>
      </c>
      <c r="G241" s="19">
        <f>2.15093+2.27042</f>
        <v>4.42135</v>
      </c>
      <c r="H241" s="12"/>
      <c r="I241" s="19"/>
      <c r="J241" s="12"/>
    </row>
    <row r="242" spans="1:10" ht="136.5" customHeight="1">
      <c r="A242" s="15" t="s">
        <v>116</v>
      </c>
      <c r="B242" s="14" t="s">
        <v>118</v>
      </c>
      <c r="C242" s="1">
        <v>2793614339</v>
      </c>
      <c r="D242" s="5" t="s">
        <v>117</v>
      </c>
      <c r="E242" s="12">
        <v>24</v>
      </c>
      <c r="F242" s="12">
        <f t="shared" si="7"/>
        <v>12</v>
      </c>
      <c r="G242" s="19">
        <f>4+8</f>
        <v>12</v>
      </c>
      <c r="H242" s="12"/>
      <c r="I242" s="19"/>
      <c r="J242" s="12"/>
    </row>
    <row r="243" spans="1:10" ht="112.5" customHeight="1">
      <c r="A243" s="15" t="s">
        <v>106</v>
      </c>
      <c r="B243" s="11" t="s">
        <v>105</v>
      </c>
      <c r="C243" s="1">
        <v>36359033</v>
      </c>
      <c r="D243" s="18" t="s">
        <v>102</v>
      </c>
      <c r="E243" s="12">
        <f>12+12+3.64</f>
        <v>27.64</v>
      </c>
      <c r="F243" s="12">
        <f t="shared" si="7"/>
        <v>27.64</v>
      </c>
      <c r="G243" s="19">
        <f>12+12+3.64</f>
        <v>27.64</v>
      </c>
      <c r="H243" s="12"/>
      <c r="I243" s="19"/>
      <c r="J243" s="12"/>
    </row>
    <row r="244" spans="1:10" ht="94.5" customHeight="1">
      <c r="A244" s="15" t="s">
        <v>107</v>
      </c>
      <c r="B244" s="11" t="s">
        <v>105</v>
      </c>
      <c r="C244" s="1">
        <v>36359033</v>
      </c>
      <c r="D244" s="18" t="s">
        <v>103</v>
      </c>
      <c r="E244" s="12">
        <f>15.984+15.984</f>
        <v>31.968</v>
      </c>
      <c r="F244" s="12">
        <f t="shared" si="7"/>
        <v>31.968</v>
      </c>
      <c r="G244" s="19">
        <f>15.984+15.984</f>
        <v>31.968</v>
      </c>
      <c r="H244" s="12"/>
      <c r="I244" s="19"/>
      <c r="J244" s="12"/>
    </row>
    <row r="245" spans="1:10" ht="150">
      <c r="A245" s="15" t="s">
        <v>108</v>
      </c>
      <c r="B245" s="11" t="s">
        <v>105</v>
      </c>
      <c r="C245" s="1">
        <v>36359033</v>
      </c>
      <c r="D245" s="18" t="s">
        <v>104</v>
      </c>
      <c r="E245" s="12">
        <v>3.12528</v>
      </c>
      <c r="F245" s="12">
        <f t="shared" si="7"/>
        <v>3.12528</v>
      </c>
      <c r="G245" s="19">
        <v>3.12528</v>
      </c>
      <c r="H245" s="12"/>
      <c r="I245" s="19"/>
      <c r="J245" s="12"/>
    </row>
    <row r="246" spans="1:10" ht="93.75">
      <c r="A246" s="15" t="s">
        <v>84</v>
      </c>
      <c r="B246" s="14" t="s">
        <v>86</v>
      </c>
      <c r="C246" s="26" t="s">
        <v>174</v>
      </c>
      <c r="D246" s="18" t="s">
        <v>85</v>
      </c>
      <c r="E246" s="12">
        <f>4.454+2.906</f>
        <v>7.359999999999999</v>
      </c>
      <c r="F246" s="12">
        <f t="shared" si="7"/>
        <v>7.359999999999999</v>
      </c>
      <c r="G246" s="19">
        <f>4.454+2.906</f>
        <v>7.359999999999999</v>
      </c>
      <c r="H246" s="12"/>
      <c r="I246" s="19"/>
      <c r="J246" s="12"/>
    </row>
    <row r="247" spans="1:10" ht="62.25" customHeight="1">
      <c r="A247" s="15" t="s">
        <v>223</v>
      </c>
      <c r="B247" s="14" t="s">
        <v>224</v>
      </c>
      <c r="C247" s="26" t="s">
        <v>225</v>
      </c>
      <c r="D247" s="18" t="s">
        <v>226</v>
      </c>
      <c r="E247" s="12">
        <v>11.71337</v>
      </c>
      <c r="F247" s="12">
        <f t="shared" si="7"/>
        <v>6.762950000000001</v>
      </c>
      <c r="G247" s="19">
        <f>0.70786+1.27603+0.70785+0.70786+1.60304+0.70786+1.05245</f>
        <v>6.762950000000001</v>
      </c>
      <c r="H247" s="12"/>
      <c r="I247" s="19"/>
      <c r="J247" s="12"/>
    </row>
    <row r="248" spans="1:10" ht="142.5" customHeight="1">
      <c r="A248" s="15" t="s">
        <v>253</v>
      </c>
      <c r="B248" s="14" t="s">
        <v>255</v>
      </c>
      <c r="C248" s="26" t="s">
        <v>256</v>
      </c>
      <c r="D248" s="18" t="s">
        <v>254</v>
      </c>
      <c r="E248" s="12">
        <v>16.36097</v>
      </c>
      <c r="F248" s="12">
        <f t="shared" si="7"/>
        <v>16.36097</v>
      </c>
      <c r="G248" s="19">
        <v>16.36097</v>
      </c>
      <c r="H248" s="12"/>
      <c r="I248" s="19"/>
      <c r="J248" s="12"/>
    </row>
    <row r="249" spans="1:10" ht="93.75" customHeight="1">
      <c r="A249" s="15" t="s">
        <v>307</v>
      </c>
      <c r="B249" s="14" t="s">
        <v>309</v>
      </c>
      <c r="C249" s="26" t="s">
        <v>310</v>
      </c>
      <c r="D249" s="18" t="s">
        <v>308</v>
      </c>
      <c r="E249" s="12">
        <v>2.4</v>
      </c>
      <c r="F249" s="12">
        <f t="shared" si="7"/>
        <v>2.4</v>
      </c>
      <c r="G249" s="19">
        <v>2.4</v>
      </c>
      <c r="H249" s="12"/>
      <c r="I249" s="19"/>
      <c r="J249" s="12"/>
    </row>
    <row r="250" spans="1:10" ht="97.5" customHeight="1">
      <c r="A250" s="15" t="s">
        <v>311</v>
      </c>
      <c r="B250" s="11" t="s">
        <v>105</v>
      </c>
      <c r="C250" s="1">
        <v>36359033</v>
      </c>
      <c r="D250" s="18" t="s">
        <v>103</v>
      </c>
      <c r="E250" s="12">
        <v>19.36</v>
      </c>
      <c r="F250" s="12">
        <f t="shared" si="7"/>
        <v>19.36</v>
      </c>
      <c r="G250" s="19">
        <v>19.36</v>
      </c>
      <c r="H250" s="12"/>
      <c r="I250" s="19"/>
      <c r="J250" s="12"/>
    </row>
    <row r="251" spans="1:10" ht="97.5" customHeight="1">
      <c r="A251" s="15" t="s">
        <v>325</v>
      </c>
      <c r="B251" s="11" t="s">
        <v>42</v>
      </c>
      <c r="C251" s="1">
        <v>2387118949</v>
      </c>
      <c r="D251" s="18" t="s">
        <v>326</v>
      </c>
      <c r="E251" s="12">
        <f>29.7+29.7</f>
        <v>59.4</v>
      </c>
      <c r="F251" s="12">
        <f t="shared" si="7"/>
        <v>59.4</v>
      </c>
      <c r="G251" s="19"/>
      <c r="H251" s="12"/>
      <c r="I251" s="19">
        <f>29.7+29.7</f>
        <v>59.4</v>
      </c>
      <c r="J251" s="12"/>
    </row>
    <row r="252" spans="1:10" ht="114" customHeight="1">
      <c r="A252" s="15" t="s">
        <v>355</v>
      </c>
      <c r="B252" s="11" t="s">
        <v>357</v>
      </c>
      <c r="C252" s="1">
        <v>42733701</v>
      </c>
      <c r="D252" s="18" t="s">
        <v>356</v>
      </c>
      <c r="E252" s="12">
        <v>29.85</v>
      </c>
      <c r="F252" s="12">
        <f t="shared" si="7"/>
        <v>29.85</v>
      </c>
      <c r="G252" s="19">
        <v>29.85</v>
      </c>
      <c r="H252" s="12"/>
      <c r="I252" s="19"/>
      <c r="J252" s="12"/>
    </row>
    <row r="253" spans="1:10" ht="77.25" customHeight="1">
      <c r="A253" s="15" t="s">
        <v>358</v>
      </c>
      <c r="B253" s="11" t="s">
        <v>360</v>
      </c>
      <c r="C253" s="1">
        <v>42936800</v>
      </c>
      <c r="D253" s="18" t="s">
        <v>359</v>
      </c>
      <c r="E253" s="12">
        <f>11+11</f>
        <v>22</v>
      </c>
      <c r="F253" s="12">
        <f t="shared" si="7"/>
        <v>22</v>
      </c>
      <c r="G253" s="19">
        <f>6.01+11</f>
        <v>17.009999999999998</v>
      </c>
      <c r="H253" s="12">
        <v>4.99</v>
      </c>
      <c r="I253" s="19"/>
      <c r="J253" s="12"/>
    </row>
    <row r="254" spans="1:10" ht="77.25" customHeight="1">
      <c r="A254" s="15" t="s">
        <v>438</v>
      </c>
      <c r="B254" s="11" t="s">
        <v>440</v>
      </c>
      <c r="C254" s="1">
        <v>32068536</v>
      </c>
      <c r="D254" s="18" t="s">
        <v>439</v>
      </c>
      <c r="E254" s="12">
        <v>108.93997</v>
      </c>
      <c r="F254" s="12">
        <f t="shared" si="7"/>
        <v>108.93997</v>
      </c>
      <c r="G254" s="19"/>
      <c r="H254" s="12"/>
      <c r="I254" s="19">
        <v>108.93997</v>
      </c>
      <c r="J254" s="12"/>
    </row>
    <row r="255" spans="1:10" ht="105.75" customHeight="1">
      <c r="A255" s="15" t="s">
        <v>429</v>
      </c>
      <c r="B255" s="11" t="s">
        <v>105</v>
      </c>
      <c r="C255" s="1">
        <v>36359033</v>
      </c>
      <c r="D255" s="18" t="s">
        <v>103</v>
      </c>
      <c r="E255" s="12">
        <v>48.3</v>
      </c>
      <c r="F255" s="12">
        <f t="shared" si="7"/>
        <v>48.3</v>
      </c>
      <c r="G255" s="19">
        <v>48.3</v>
      </c>
      <c r="H255" s="12"/>
      <c r="I255" s="19"/>
      <c r="J255" s="12"/>
    </row>
    <row r="256" spans="1:10" ht="118.5" customHeight="1">
      <c r="A256" s="15" t="s">
        <v>430</v>
      </c>
      <c r="B256" s="11" t="s">
        <v>432</v>
      </c>
      <c r="C256" s="1">
        <v>34910091</v>
      </c>
      <c r="D256" s="18" t="s">
        <v>431</v>
      </c>
      <c r="E256" s="12">
        <v>1.1</v>
      </c>
      <c r="F256" s="12">
        <f t="shared" si="7"/>
        <v>1.1</v>
      </c>
      <c r="G256" s="19">
        <v>1.1</v>
      </c>
      <c r="H256" s="12"/>
      <c r="I256" s="19"/>
      <c r="J256" s="12"/>
    </row>
    <row r="257" spans="1:10" ht="138.75" customHeight="1">
      <c r="A257" s="15" t="s">
        <v>493</v>
      </c>
      <c r="B257" s="11" t="s">
        <v>495</v>
      </c>
      <c r="C257" s="1">
        <v>42733701</v>
      </c>
      <c r="D257" s="18" t="s">
        <v>494</v>
      </c>
      <c r="E257" s="12">
        <v>15</v>
      </c>
      <c r="F257" s="12">
        <f t="shared" si="7"/>
        <v>15</v>
      </c>
      <c r="G257" s="19">
        <v>15</v>
      </c>
      <c r="H257" s="12"/>
      <c r="I257" s="19"/>
      <c r="J257" s="12"/>
    </row>
    <row r="258" spans="1:10" ht="138.75" customHeight="1">
      <c r="A258" s="15" t="s">
        <v>623</v>
      </c>
      <c r="B258" s="11" t="s">
        <v>495</v>
      </c>
      <c r="C258" s="1">
        <v>42733701</v>
      </c>
      <c r="D258" s="18" t="s">
        <v>624</v>
      </c>
      <c r="E258" s="12">
        <v>29.8</v>
      </c>
      <c r="F258" s="12">
        <f t="shared" si="7"/>
        <v>29.799999999999997</v>
      </c>
      <c r="G258" s="19"/>
      <c r="H258" s="12">
        <f>21.441+8.359</f>
        <v>29.799999999999997</v>
      </c>
      <c r="I258" s="19"/>
      <c r="J258" s="12"/>
    </row>
    <row r="259" spans="1:10" ht="118.5" customHeight="1">
      <c r="A259" s="15" t="s">
        <v>554</v>
      </c>
      <c r="B259" s="11" t="s">
        <v>495</v>
      </c>
      <c r="C259" s="1">
        <v>42733701</v>
      </c>
      <c r="D259" s="18" t="s">
        <v>356</v>
      </c>
      <c r="E259" s="12">
        <v>29.9</v>
      </c>
      <c r="F259" s="12">
        <f t="shared" si="7"/>
        <v>29.9</v>
      </c>
      <c r="G259" s="19">
        <v>29.9</v>
      </c>
      <c r="H259" s="12"/>
      <c r="I259" s="19"/>
      <c r="J259" s="12"/>
    </row>
    <row r="260" spans="1:10" ht="124.5" customHeight="1">
      <c r="A260" s="15" t="s">
        <v>591</v>
      </c>
      <c r="B260" s="11" t="s">
        <v>592</v>
      </c>
      <c r="C260" s="1">
        <v>32068536</v>
      </c>
      <c r="D260" s="18" t="s">
        <v>593</v>
      </c>
      <c r="E260" s="12">
        <v>298.44728</v>
      </c>
      <c r="F260" s="12">
        <f t="shared" si="7"/>
        <v>298.44728</v>
      </c>
      <c r="G260" s="19"/>
      <c r="H260" s="12"/>
      <c r="I260" s="19">
        <v>298.44728</v>
      </c>
      <c r="J260" s="12"/>
    </row>
    <row r="261" spans="1:10" ht="118.5" customHeight="1">
      <c r="A261" s="15" t="s">
        <v>555</v>
      </c>
      <c r="B261" s="11" t="s">
        <v>556</v>
      </c>
      <c r="C261" s="1">
        <v>3347109104</v>
      </c>
      <c r="D261" s="18" t="s">
        <v>557</v>
      </c>
      <c r="E261" s="12">
        <v>1.75</v>
      </c>
      <c r="F261" s="12">
        <f t="shared" si="7"/>
        <v>1.75</v>
      </c>
      <c r="G261" s="19">
        <v>1.75</v>
      </c>
      <c r="H261" s="12"/>
      <c r="I261" s="19"/>
      <c r="J261" s="12"/>
    </row>
    <row r="262" spans="1:10" ht="118.5" customHeight="1">
      <c r="A262" s="15" t="s">
        <v>625</v>
      </c>
      <c r="B262" s="11" t="s">
        <v>495</v>
      </c>
      <c r="C262" s="1">
        <v>42733701</v>
      </c>
      <c r="D262" s="18" t="s">
        <v>626</v>
      </c>
      <c r="E262" s="12">
        <v>10.36</v>
      </c>
      <c r="F262" s="12">
        <f t="shared" si="7"/>
        <v>10.36</v>
      </c>
      <c r="G262" s="19"/>
      <c r="H262" s="12">
        <v>10.36</v>
      </c>
      <c r="I262" s="19"/>
      <c r="J262" s="12"/>
    </row>
    <row r="263" spans="1:10" ht="118.5" customHeight="1">
      <c r="A263" s="15" t="s">
        <v>627</v>
      </c>
      <c r="B263" s="11" t="s">
        <v>628</v>
      </c>
      <c r="C263" s="1">
        <v>2580410511</v>
      </c>
      <c r="D263" s="18" t="s">
        <v>630</v>
      </c>
      <c r="E263" s="12">
        <v>2.77</v>
      </c>
      <c r="F263" s="12">
        <f t="shared" si="7"/>
        <v>2.77</v>
      </c>
      <c r="G263" s="19"/>
      <c r="H263" s="12">
        <v>2.77</v>
      </c>
      <c r="I263" s="19"/>
      <c r="J263" s="12"/>
    </row>
    <row r="264" spans="1:10" ht="118.5" customHeight="1">
      <c r="A264" s="15" t="s">
        <v>629</v>
      </c>
      <c r="B264" s="11" t="s">
        <v>628</v>
      </c>
      <c r="C264" s="1">
        <v>2580410511</v>
      </c>
      <c r="D264" s="18" t="s">
        <v>631</v>
      </c>
      <c r="E264" s="12">
        <v>10.08</v>
      </c>
      <c r="F264" s="12">
        <f t="shared" si="7"/>
        <v>10.08</v>
      </c>
      <c r="G264" s="19"/>
      <c r="H264" s="12">
        <v>10.08</v>
      </c>
      <c r="I264" s="19"/>
      <c r="J264" s="12"/>
    </row>
    <row r="265" spans="1:10" ht="206.25">
      <c r="A265" s="15" t="s">
        <v>222</v>
      </c>
      <c r="B265" s="14" t="s">
        <v>220</v>
      </c>
      <c r="C265" s="30">
        <v>40277858</v>
      </c>
      <c r="D265" s="14" t="s">
        <v>221</v>
      </c>
      <c r="E265" s="12">
        <f>19.849-14.549</f>
        <v>5.300000000000001</v>
      </c>
      <c r="F265" s="12">
        <f t="shared" si="7"/>
        <v>0.649</v>
      </c>
      <c r="G265" s="19">
        <v>0.649</v>
      </c>
      <c r="H265" s="12"/>
      <c r="I265" s="19"/>
      <c r="J265" s="12"/>
    </row>
    <row r="266" spans="1:10" ht="112.5">
      <c r="A266" s="15" t="s">
        <v>298</v>
      </c>
      <c r="B266" s="14" t="s">
        <v>299</v>
      </c>
      <c r="C266" s="30">
        <v>23881078</v>
      </c>
      <c r="D266" s="14" t="s">
        <v>300</v>
      </c>
      <c r="E266" s="12">
        <v>6.63096</v>
      </c>
      <c r="F266" s="12">
        <f t="shared" si="7"/>
        <v>3.31548</v>
      </c>
      <c r="G266" s="19">
        <f>3.31548</f>
        <v>3.31548</v>
      </c>
      <c r="H266" s="12"/>
      <c r="I266" s="19"/>
      <c r="J266" s="12"/>
    </row>
    <row r="267" spans="1:10" ht="93.75">
      <c r="A267" s="15" t="s">
        <v>301</v>
      </c>
      <c r="B267" s="14" t="s">
        <v>302</v>
      </c>
      <c r="C267" s="37" t="s">
        <v>303</v>
      </c>
      <c r="D267" s="14" t="s">
        <v>304</v>
      </c>
      <c r="E267" s="12">
        <v>0.16067</v>
      </c>
      <c r="F267" s="12">
        <f t="shared" si="7"/>
        <v>0.16067</v>
      </c>
      <c r="G267" s="19">
        <v>0.16067</v>
      </c>
      <c r="H267" s="12"/>
      <c r="I267" s="19"/>
      <c r="J267" s="12"/>
    </row>
    <row r="268" spans="1:10" ht="160.5" customHeight="1">
      <c r="A268" s="15" t="s">
        <v>305</v>
      </c>
      <c r="B268" s="11" t="s">
        <v>105</v>
      </c>
      <c r="C268" s="1">
        <v>36359033</v>
      </c>
      <c r="D268" s="14" t="s">
        <v>306</v>
      </c>
      <c r="E268" s="12">
        <v>198.9</v>
      </c>
      <c r="F268" s="12">
        <f t="shared" si="7"/>
        <v>198.89999999999998</v>
      </c>
      <c r="G268" s="19">
        <f>59.67+139.23</f>
        <v>198.89999999999998</v>
      </c>
      <c r="H268" s="12"/>
      <c r="I268" s="19"/>
      <c r="J268" s="12"/>
    </row>
    <row r="269" spans="1:10" ht="91.5" customHeight="1">
      <c r="A269" s="15" t="s">
        <v>524</v>
      </c>
      <c r="B269" s="11" t="s">
        <v>105</v>
      </c>
      <c r="C269" s="1">
        <v>36359033</v>
      </c>
      <c r="D269" s="14" t="s">
        <v>428</v>
      </c>
      <c r="E269" s="12">
        <v>21.36</v>
      </c>
      <c r="F269" s="12">
        <f t="shared" si="7"/>
        <v>21.36</v>
      </c>
      <c r="G269" s="19">
        <v>21.36</v>
      </c>
      <c r="H269" s="12"/>
      <c r="I269" s="19"/>
      <c r="J269" s="12"/>
    </row>
    <row r="270" spans="1:10" ht="91.5" customHeight="1">
      <c r="A270" s="15" t="s">
        <v>525</v>
      </c>
      <c r="B270" s="11" t="s">
        <v>105</v>
      </c>
      <c r="C270" s="1">
        <v>36359033</v>
      </c>
      <c r="D270" s="14" t="s">
        <v>428</v>
      </c>
      <c r="E270" s="12">
        <v>21.36</v>
      </c>
      <c r="F270" s="12">
        <f t="shared" si="7"/>
        <v>21.36</v>
      </c>
      <c r="G270" s="19">
        <v>21.36</v>
      </c>
      <c r="H270" s="12"/>
      <c r="I270" s="19"/>
      <c r="J270" s="12"/>
    </row>
    <row r="271" spans="1:10" ht="80.25" customHeight="1">
      <c r="A271" s="15" t="s">
        <v>425</v>
      </c>
      <c r="B271" s="11" t="s">
        <v>426</v>
      </c>
      <c r="C271" s="1"/>
      <c r="D271" s="14" t="s">
        <v>427</v>
      </c>
      <c r="E271" s="12">
        <v>1.31108</v>
      </c>
      <c r="F271" s="12">
        <f t="shared" si="7"/>
        <v>1.31108</v>
      </c>
      <c r="G271" s="19">
        <v>1.31108</v>
      </c>
      <c r="H271" s="12"/>
      <c r="I271" s="19"/>
      <c r="J271" s="12"/>
    </row>
    <row r="272" spans="1:10" ht="134.25" customHeight="1">
      <c r="A272" s="15" t="s">
        <v>490</v>
      </c>
      <c r="B272" s="11" t="s">
        <v>492</v>
      </c>
      <c r="C272" s="1">
        <v>3080911610</v>
      </c>
      <c r="D272" s="14" t="s">
        <v>491</v>
      </c>
      <c r="E272" s="12">
        <v>6.55</v>
      </c>
      <c r="F272" s="12">
        <f t="shared" si="7"/>
        <v>6.55</v>
      </c>
      <c r="G272" s="19">
        <v>6.55</v>
      </c>
      <c r="H272" s="12"/>
      <c r="I272" s="19"/>
      <c r="J272" s="12"/>
    </row>
    <row r="273" spans="1:10" ht="68.25" customHeight="1">
      <c r="A273" s="15" t="s">
        <v>700</v>
      </c>
      <c r="B273" s="14" t="s">
        <v>701</v>
      </c>
      <c r="C273" s="1">
        <v>21560766</v>
      </c>
      <c r="D273" s="5" t="s">
        <v>702</v>
      </c>
      <c r="E273" s="12">
        <v>0.46569</v>
      </c>
      <c r="F273" s="12">
        <f t="shared" si="7"/>
        <v>0.46569</v>
      </c>
      <c r="G273" s="19">
        <v>0.46569</v>
      </c>
      <c r="H273" s="12"/>
      <c r="I273" s="19"/>
      <c r="J273" s="12"/>
    </row>
    <row r="274" spans="1:10" ht="198" customHeight="1">
      <c r="A274" s="15" t="s">
        <v>705</v>
      </c>
      <c r="B274" s="14" t="s">
        <v>703</v>
      </c>
      <c r="C274" s="1">
        <v>36277024</v>
      </c>
      <c r="D274" s="18" t="s">
        <v>704</v>
      </c>
      <c r="E274" s="12">
        <v>0.85</v>
      </c>
      <c r="F274" s="12">
        <f t="shared" si="7"/>
        <v>0.85</v>
      </c>
      <c r="G274" s="19">
        <v>0.85</v>
      </c>
      <c r="H274" s="12"/>
      <c r="I274" s="19"/>
      <c r="J274" s="12"/>
    </row>
    <row r="275" spans="1:10" ht="214.5" customHeight="1">
      <c r="A275" s="15" t="s">
        <v>706</v>
      </c>
      <c r="B275" s="14" t="s">
        <v>703</v>
      </c>
      <c r="C275" s="1">
        <v>36277024</v>
      </c>
      <c r="D275" s="18" t="s">
        <v>707</v>
      </c>
      <c r="E275" s="12">
        <v>3.9</v>
      </c>
      <c r="F275" s="12">
        <f t="shared" si="7"/>
        <v>3.9</v>
      </c>
      <c r="G275" s="19">
        <v>3.9</v>
      </c>
      <c r="H275" s="12"/>
      <c r="I275" s="19"/>
      <c r="J275" s="12"/>
    </row>
    <row r="276" spans="1:10" ht="214.5" customHeight="1">
      <c r="A276" s="15" t="s">
        <v>708</v>
      </c>
      <c r="B276" s="14" t="s">
        <v>709</v>
      </c>
      <c r="C276" s="1">
        <v>38783463</v>
      </c>
      <c r="D276" s="18" t="s">
        <v>710</v>
      </c>
      <c r="E276" s="12">
        <v>9.51</v>
      </c>
      <c r="F276" s="12">
        <f t="shared" si="7"/>
        <v>9.51</v>
      </c>
      <c r="G276" s="19">
        <v>9.51</v>
      </c>
      <c r="H276" s="12"/>
      <c r="I276" s="19"/>
      <c r="J276" s="12"/>
    </row>
    <row r="277" spans="1:10" ht="214.5" customHeight="1">
      <c r="A277" s="15" t="s">
        <v>711</v>
      </c>
      <c r="B277" s="14" t="s">
        <v>118</v>
      </c>
      <c r="C277" s="1">
        <v>2793614339</v>
      </c>
      <c r="D277" s="38" t="s">
        <v>712</v>
      </c>
      <c r="E277" s="12">
        <v>3.646</v>
      </c>
      <c r="F277" s="12">
        <f t="shared" si="7"/>
        <v>3.646</v>
      </c>
      <c r="G277" s="19">
        <v>3.646</v>
      </c>
      <c r="H277" s="12"/>
      <c r="I277" s="19"/>
      <c r="J277" s="12"/>
    </row>
    <row r="278" spans="1:10" ht="95.25" customHeight="1">
      <c r="A278" s="15" t="s">
        <v>521</v>
      </c>
      <c r="B278" s="41" t="s">
        <v>522</v>
      </c>
      <c r="C278" s="1">
        <v>38362729</v>
      </c>
      <c r="D278" s="29" t="s">
        <v>523</v>
      </c>
      <c r="E278" s="12">
        <v>4.18921</v>
      </c>
      <c r="F278" s="12">
        <f t="shared" si="7"/>
        <v>4.18921</v>
      </c>
      <c r="G278" s="19">
        <v>4.18921</v>
      </c>
      <c r="H278" s="12"/>
      <c r="I278" s="19"/>
      <c r="J278" s="12"/>
    </row>
    <row r="279" spans="1:10" ht="57" customHeight="1">
      <c r="A279" s="15" t="s">
        <v>232</v>
      </c>
      <c r="B279" s="41" t="s">
        <v>526</v>
      </c>
      <c r="C279" s="1" t="s">
        <v>235</v>
      </c>
      <c r="D279" s="29" t="s">
        <v>527</v>
      </c>
      <c r="E279" s="12">
        <v>2.98338</v>
      </c>
      <c r="F279" s="12">
        <f t="shared" si="7"/>
        <v>2.98338</v>
      </c>
      <c r="G279" s="19">
        <v>2.98338</v>
      </c>
      <c r="H279" s="12"/>
      <c r="I279" s="19"/>
      <c r="J279" s="12"/>
    </row>
    <row r="280" spans="1:10" ht="57" customHeight="1">
      <c r="A280" s="15" t="s">
        <v>178</v>
      </c>
      <c r="B280" s="14" t="s">
        <v>179</v>
      </c>
      <c r="C280" s="1">
        <v>41477040</v>
      </c>
      <c r="D280" s="5" t="s">
        <v>180</v>
      </c>
      <c r="E280" s="12">
        <f>-0.35455-0.054-0.04766</f>
        <v>-0.45620999999999995</v>
      </c>
      <c r="F280" s="12">
        <f t="shared" si="7"/>
        <v>-0.45620999999999995</v>
      </c>
      <c r="G280" s="19">
        <f>-0.35455-0.054-0.04766</f>
        <v>-0.45620999999999995</v>
      </c>
      <c r="H280" s="12"/>
      <c r="I280" s="19"/>
      <c r="J280" s="12"/>
    </row>
    <row r="281" spans="1:10" ht="96.75" customHeight="1">
      <c r="A281" s="15" t="s">
        <v>219</v>
      </c>
      <c r="B281" s="11" t="s">
        <v>216</v>
      </c>
      <c r="C281" s="1" t="s">
        <v>217</v>
      </c>
      <c r="D281" s="5" t="s">
        <v>218</v>
      </c>
      <c r="E281" s="12">
        <v>0.192</v>
      </c>
      <c r="F281" s="12">
        <f t="shared" si="7"/>
        <v>0.192</v>
      </c>
      <c r="G281" s="19">
        <v>0.192</v>
      </c>
      <c r="H281" s="12"/>
      <c r="I281" s="19"/>
      <c r="J281" s="12"/>
    </row>
    <row r="282" spans="1:10" s="2" customFormat="1" ht="18.75">
      <c r="A282" s="49" t="s">
        <v>16</v>
      </c>
      <c r="B282" s="49"/>
      <c r="C282" s="49"/>
      <c r="D282" s="49"/>
      <c r="E282" s="13">
        <f aca="true" t="shared" si="8" ref="E282:J282">SUM(E235:E281)</f>
        <v>1198.7722799999995</v>
      </c>
      <c r="F282" s="13">
        <f t="shared" si="8"/>
        <v>1172.2174299999995</v>
      </c>
      <c r="G282" s="13">
        <f>SUM(G235:G281)</f>
        <v>597.5057799999997</v>
      </c>
      <c r="H282" s="13">
        <f t="shared" si="8"/>
        <v>107.9244</v>
      </c>
      <c r="I282" s="13">
        <f t="shared" si="8"/>
        <v>466.78725</v>
      </c>
      <c r="J282" s="13">
        <f t="shared" si="8"/>
        <v>0</v>
      </c>
    </row>
    <row r="283" spans="1:10" s="7" customFormat="1" ht="20.25">
      <c r="A283" s="49" t="s">
        <v>171</v>
      </c>
      <c r="B283" s="49"/>
      <c r="C283" s="49"/>
      <c r="D283" s="49"/>
      <c r="E283" s="49"/>
      <c r="F283" s="49"/>
      <c r="G283" s="49"/>
      <c r="H283" s="49"/>
      <c r="I283" s="49"/>
      <c r="J283" s="49"/>
    </row>
    <row r="284" spans="1:10" s="7" customFormat="1" ht="93.75">
      <c r="A284" s="15" t="s">
        <v>173</v>
      </c>
      <c r="B284" s="11" t="s">
        <v>175</v>
      </c>
      <c r="C284" s="11">
        <v>2992010518</v>
      </c>
      <c r="D284" s="11" t="s">
        <v>176</v>
      </c>
      <c r="E284" s="27">
        <v>8.5</v>
      </c>
      <c r="F284" s="27">
        <f aca="true" t="shared" si="9" ref="F284:F300">SUM(G284:J284)</f>
        <v>8.5</v>
      </c>
      <c r="G284" s="27"/>
      <c r="H284" s="27"/>
      <c r="I284" s="27">
        <v>8.5</v>
      </c>
      <c r="J284" s="27"/>
    </row>
    <row r="285" spans="1:10" s="7" customFormat="1" ht="97.5" customHeight="1">
      <c r="A285" s="15" t="s">
        <v>188</v>
      </c>
      <c r="B285" s="11" t="s">
        <v>190</v>
      </c>
      <c r="C285" s="11">
        <v>3101606212</v>
      </c>
      <c r="D285" s="11" t="s">
        <v>189</v>
      </c>
      <c r="E285" s="27">
        <v>6.3</v>
      </c>
      <c r="F285" s="27">
        <f t="shared" si="9"/>
        <v>6.3</v>
      </c>
      <c r="G285" s="27"/>
      <c r="H285" s="27"/>
      <c r="I285" s="27">
        <v>6.3</v>
      </c>
      <c r="J285" s="27"/>
    </row>
    <row r="286" spans="1:10" s="7" customFormat="1" ht="174.75" customHeight="1">
      <c r="A286" s="15" t="s">
        <v>400</v>
      </c>
      <c r="B286" s="11" t="s">
        <v>402</v>
      </c>
      <c r="C286" s="11">
        <v>40146770</v>
      </c>
      <c r="D286" s="11" t="s">
        <v>401</v>
      </c>
      <c r="E286" s="27">
        <v>9.498</v>
      </c>
      <c r="F286" s="27">
        <f t="shared" si="9"/>
        <v>9.498</v>
      </c>
      <c r="G286" s="27"/>
      <c r="H286" s="27"/>
      <c r="I286" s="27">
        <v>9.498</v>
      </c>
      <c r="J286" s="27"/>
    </row>
    <row r="287" spans="1:10" s="7" customFormat="1" ht="97.5" customHeight="1">
      <c r="A287" s="15" t="s">
        <v>327</v>
      </c>
      <c r="B287" s="11" t="s">
        <v>328</v>
      </c>
      <c r="C287" s="11">
        <v>2843514720</v>
      </c>
      <c r="D287" s="11" t="s">
        <v>329</v>
      </c>
      <c r="E287" s="27">
        <v>16.1</v>
      </c>
      <c r="F287" s="27">
        <f t="shared" si="9"/>
        <v>16.1</v>
      </c>
      <c r="G287" s="27"/>
      <c r="H287" s="27"/>
      <c r="I287" s="27">
        <v>16.1</v>
      </c>
      <c r="J287" s="27"/>
    </row>
    <row r="288" spans="1:10" s="7" customFormat="1" ht="73.5" customHeight="1">
      <c r="A288" s="15" t="s">
        <v>403</v>
      </c>
      <c r="B288" s="11" t="s">
        <v>404</v>
      </c>
      <c r="C288" s="11">
        <v>2907104937</v>
      </c>
      <c r="D288" s="11" t="s">
        <v>405</v>
      </c>
      <c r="E288" s="27">
        <v>29.95</v>
      </c>
      <c r="F288" s="27">
        <f t="shared" si="9"/>
        <v>29.95</v>
      </c>
      <c r="G288" s="27"/>
      <c r="H288" s="27"/>
      <c r="I288" s="27">
        <v>29.95</v>
      </c>
      <c r="J288" s="27"/>
    </row>
    <row r="289" spans="1:10" s="7" customFormat="1" ht="78.75" customHeight="1">
      <c r="A289" s="15" t="s">
        <v>406</v>
      </c>
      <c r="B289" s="11" t="s">
        <v>155</v>
      </c>
      <c r="C289" s="1">
        <v>2251605227</v>
      </c>
      <c r="D289" s="18" t="s">
        <v>408</v>
      </c>
      <c r="E289" s="27">
        <v>8.42</v>
      </c>
      <c r="F289" s="27">
        <f t="shared" si="9"/>
        <v>8.42</v>
      </c>
      <c r="G289" s="27"/>
      <c r="H289" s="27"/>
      <c r="I289" s="27">
        <v>8.42</v>
      </c>
      <c r="J289" s="27"/>
    </row>
    <row r="290" spans="1:10" s="7" customFormat="1" ht="118.5" customHeight="1">
      <c r="A290" s="15" t="s">
        <v>407</v>
      </c>
      <c r="B290" s="11" t="s">
        <v>155</v>
      </c>
      <c r="C290" s="1">
        <v>2251605227</v>
      </c>
      <c r="D290" s="18" t="s">
        <v>605</v>
      </c>
      <c r="E290" s="27">
        <v>25.8</v>
      </c>
      <c r="F290" s="27">
        <f t="shared" si="9"/>
        <v>25.8</v>
      </c>
      <c r="G290" s="27"/>
      <c r="H290" s="27"/>
      <c r="I290" s="27">
        <v>25.8</v>
      </c>
      <c r="J290" s="27"/>
    </row>
    <row r="291" spans="1:10" s="7" customFormat="1" ht="54.75" customHeight="1">
      <c r="A291" s="15" t="s">
        <v>435</v>
      </c>
      <c r="B291" s="11" t="s">
        <v>436</v>
      </c>
      <c r="C291" s="1">
        <v>3022412028</v>
      </c>
      <c r="D291" s="18" t="s">
        <v>437</v>
      </c>
      <c r="E291" s="27">
        <v>7.499</v>
      </c>
      <c r="F291" s="27">
        <f t="shared" si="9"/>
        <v>7.499</v>
      </c>
      <c r="G291" s="27"/>
      <c r="H291" s="27">
        <v>7.499</v>
      </c>
      <c r="I291" s="27"/>
      <c r="J291" s="27"/>
    </row>
    <row r="292" spans="1:10" s="7" customFormat="1" ht="95.25" customHeight="1">
      <c r="A292" s="15" t="s">
        <v>441</v>
      </c>
      <c r="B292" s="11" t="s">
        <v>155</v>
      </c>
      <c r="C292" s="1">
        <v>2251605227</v>
      </c>
      <c r="D292" s="18" t="s">
        <v>604</v>
      </c>
      <c r="E292" s="27">
        <v>18.05</v>
      </c>
      <c r="F292" s="27">
        <f t="shared" si="9"/>
        <v>18.05</v>
      </c>
      <c r="G292" s="27"/>
      <c r="H292" s="27"/>
      <c r="I292" s="27">
        <v>18.05</v>
      </c>
      <c r="J292" s="27"/>
    </row>
    <row r="293" spans="1:10" s="7" customFormat="1" ht="114.75" customHeight="1">
      <c r="A293" s="15" t="s">
        <v>442</v>
      </c>
      <c r="B293" s="11" t="s">
        <v>155</v>
      </c>
      <c r="C293" s="1">
        <v>2251605227</v>
      </c>
      <c r="D293" s="18" t="s">
        <v>603</v>
      </c>
      <c r="E293" s="27">
        <v>15</v>
      </c>
      <c r="F293" s="27">
        <f t="shared" si="9"/>
        <v>15</v>
      </c>
      <c r="G293" s="27"/>
      <c r="H293" s="27"/>
      <c r="I293" s="27">
        <v>15</v>
      </c>
      <c r="J293" s="27"/>
    </row>
    <row r="294" spans="1:10" s="7" customFormat="1" ht="114.75" customHeight="1">
      <c r="A294" s="15" t="s">
        <v>662</v>
      </c>
      <c r="B294" s="11" t="s">
        <v>664</v>
      </c>
      <c r="C294" s="34">
        <v>3591105572</v>
      </c>
      <c r="D294" s="18" t="s">
        <v>663</v>
      </c>
      <c r="E294" s="27">
        <v>92.24</v>
      </c>
      <c r="F294" s="27">
        <f t="shared" si="9"/>
        <v>92.24</v>
      </c>
      <c r="G294" s="27"/>
      <c r="H294" s="27"/>
      <c r="I294" s="27">
        <v>92.24</v>
      </c>
      <c r="J294" s="27"/>
    </row>
    <row r="295" spans="1:10" s="7" customFormat="1" ht="114.75" customHeight="1">
      <c r="A295" s="15" t="s">
        <v>665</v>
      </c>
      <c r="B295" s="11" t="s">
        <v>666</v>
      </c>
      <c r="C295" s="34">
        <v>2909016822</v>
      </c>
      <c r="D295" s="18" t="s">
        <v>667</v>
      </c>
      <c r="E295" s="27">
        <v>13.999</v>
      </c>
      <c r="F295" s="27">
        <f t="shared" si="9"/>
        <v>13.999</v>
      </c>
      <c r="G295" s="27"/>
      <c r="H295" s="27"/>
      <c r="I295" s="27">
        <v>13.999</v>
      </c>
      <c r="J295" s="27"/>
    </row>
    <row r="296" spans="1:10" s="7" customFormat="1" ht="138" customHeight="1">
      <c r="A296" s="15" t="s">
        <v>668</v>
      </c>
      <c r="B296" s="11" t="s">
        <v>669</v>
      </c>
      <c r="C296" s="34">
        <v>41740084</v>
      </c>
      <c r="D296" s="18" t="s">
        <v>670</v>
      </c>
      <c r="E296" s="27">
        <v>29.96</v>
      </c>
      <c r="F296" s="27">
        <f t="shared" si="9"/>
        <v>29.96</v>
      </c>
      <c r="G296" s="27"/>
      <c r="H296" s="27"/>
      <c r="I296" s="27">
        <v>29.96</v>
      </c>
      <c r="J296" s="27"/>
    </row>
    <row r="297" spans="1:10" s="7" customFormat="1" ht="138" customHeight="1">
      <c r="A297" s="15" t="s">
        <v>671</v>
      </c>
      <c r="B297" s="11" t="s">
        <v>672</v>
      </c>
      <c r="C297" s="34">
        <v>41111906</v>
      </c>
      <c r="D297" s="18" t="s">
        <v>673</v>
      </c>
      <c r="E297" s="27">
        <v>48.75</v>
      </c>
      <c r="F297" s="27">
        <f t="shared" si="9"/>
        <v>48.75</v>
      </c>
      <c r="G297" s="27"/>
      <c r="H297" s="27"/>
      <c r="I297" s="27">
        <v>48.75</v>
      </c>
      <c r="J297" s="27"/>
    </row>
    <row r="298" spans="1:10" s="7" customFormat="1" ht="81.75" customHeight="1">
      <c r="A298" s="11" t="s">
        <v>513</v>
      </c>
      <c r="B298" s="5" t="s">
        <v>512</v>
      </c>
      <c r="C298" s="39">
        <v>40226798</v>
      </c>
      <c r="D298" s="40" t="s">
        <v>514</v>
      </c>
      <c r="E298" s="27">
        <v>12.1</v>
      </c>
      <c r="F298" s="27">
        <f t="shared" si="9"/>
        <v>12.1</v>
      </c>
      <c r="G298" s="27"/>
      <c r="H298" s="27"/>
      <c r="I298" s="27">
        <v>12.1</v>
      </c>
      <c r="J298" s="27"/>
    </row>
    <row r="299" spans="1:10" s="7" customFormat="1" ht="178.5" customHeight="1">
      <c r="A299" s="11" t="s">
        <v>528</v>
      </c>
      <c r="B299" s="11" t="s">
        <v>515</v>
      </c>
      <c r="C299" s="1" t="s">
        <v>235</v>
      </c>
      <c r="D299" s="40" t="s">
        <v>518</v>
      </c>
      <c r="E299" s="27">
        <v>22.05</v>
      </c>
      <c r="F299" s="27">
        <f t="shared" si="9"/>
        <v>22.05</v>
      </c>
      <c r="G299" s="27"/>
      <c r="H299" s="27"/>
      <c r="I299" s="27">
        <v>22.05</v>
      </c>
      <c r="J299" s="27"/>
    </row>
    <row r="300" spans="1:10" s="7" customFormat="1" ht="184.5" customHeight="1">
      <c r="A300" s="11" t="s">
        <v>528</v>
      </c>
      <c r="B300" s="11" t="s">
        <v>515</v>
      </c>
      <c r="C300" s="1" t="s">
        <v>235</v>
      </c>
      <c r="D300" s="40" t="s">
        <v>517</v>
      </c>
      <c r="E300" s="27">
        <v>118.66482</v>
      </c>
      <c r="F300" s="27">
        <f t="shared" si="9"/>
        <v>118.66482</v>
      </c>
      <c r="G300" s="27"/>
      <c r="H300" s="27"/>
      <c r="I300" s="27">
        <v>118.66482</v>
      </c>
      <c r="J300" s="27"/>
    </row>
    <row r="301" spans="1:10" s="7" customFormat="1" ht="20.25">
      <c r="A301" s="49" t="s">
        <v>172</v>
      </c>
      <c r="B301" s="49"/>
      <c r="C301" s="49"/>
      <c r="D301" s="49"/>
      <c r="E301" s="17">
        <f>SUM(E284:E300)</f>
        <v>482.88082</v>
      </c>
      <c r="F301" s="17">
        <f>SUM(F284:F293)</f>
        <v>145.117</v>
      </c>
      <c r="G301" s="17">
        <f>SUM(G284:G293)</f>
        <v>0</v>
      </c>
      <c r="H301" s="17">
        <f>SUM(H284:H293)</f>
        <v>7.499</v>
      </c>
      <c r="I301" s="17">
        <f>SUM(I284:I300)</f>
        <v>475.38182000000006</v>
      </c>
      <c r="J301" s="17">
        <f>SUM(J284:J293)</f>
        <v>0</v>
      </c>
    </row>
    <row r="302" spans="1:10" s="7" customFormat="1" ht="20.25">
      <c r="A302" s="45" t="s">
        <v>17</v>
      </c>
      <c r="B302" s="45"/>
      <c r="C302" s="45"/>
      <c r="D302" s="45"/>
      <c r="E302" s="17">
        <f aca="true" t="shared" si="10" ref="E302:J302">E301+E282+E233+E174+E159</f>
        <v>10165.395620000003</v>
      </c>
      <c r="F302" s="17">
        <f t="shared" si="10"/>
        <v>9868.24365</v>
      </c>
      <c r="G302" s="17">
        <f t="shared" si="10"/>
        <v>4968.45987</v>
      </c>
      <c r="H302" s="17">
        <f t="shared" si="10"/>
        <v>915.6197500000001</v>
      </c>
      <c r="I302" s="17">
        <f t="shared" si="10"/>
        <v>4321.927850000001</v>
      </c>
      <c r="J302" s="17">
        <f t="shared" si="10"/>
        <v>0</v>
      </c>
    </row>
    <row r="304" spans="1:10" s="7" customFormat="1" ht="20.25">
      <c r="A304" s="6" t="s">
        <v>21</v>
      </c>
      <c r="B304" s="6"/>
      <c r="C304" s="6"/>
      <c r="E304" s="46"/>
      <c r="F304" s="46"/>
      <c r="G304" s="20"/>
      <c r="H304" s="8"/>
      <c r="I304" s="46" t="s">
        <v>30</v>
      </c>
      <c r="J304" s="46"/>
    </row>
    <row r="305" spans="1:10" s="7" customFormat="1" ht="20.25">
      <c r="A305" s="6"/>
      <c r="B305" s="6"/>
      <c r="C305" s="6"/>
      <c r="E305" s="8"/>
      <c r="F305" s="8"/>
      <c r="G305" s="20"/>
      <c r="H305" s="8"/>
      <c r="I305" s="20"/>
      <c r="J305" s="8"/>
    </row>
    <row r="306" spans="1:10" s="7" customFormat="1" ht="20.25">
      <c r="A306" s="47" t="s">
        <v>22</v>
      </c>
      <c r="B306" s="47"/>
      <c r="C306" s="47"/>
      <c r="E306" s="8"/>
      <c r="F306" s="8"/>
      <c r="G306" s="20"/>
      <c r="H306" s="8"/>
      <c r="I306" s="46" t="s">
        <v>29</v>
      </c>
      <c r="J306" s="46"/>
    </row>
    <row r="307" spans="1:10" ht="18.75">
      <c r="A307" s="48" t="s">
        <v>286</v>
      </c>
      <c r="B307" s="48"/>
      <c r="C307" s="3"/>
      <c r="E307" s="3"/>
      <c r="F307" s="3"/>
      <c r="G307" s="3"/>
      <c r="H307" s="3"/>
      <c r="I307" s="3"/>
      <c r="J307" s="3"/>
    </row>
  </sheetData>
  <sheetProtection/>
  <mergeCells count="28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J6"/>
    <mergeCell ref="F7:F8"/>
    <mergeCell ref="G7:J7"/>
    <mergeCell ref="A10:J10"/>
    <mergeCell ref="A159:D159"/>
    <mergeCell ref="A160:J160"/>
    <mergeCell ref="A174:D174"/>
    <mergeCell ref="A175:J175"/>
    <mergeCell ref="A233:D233"/>
    <mergeCell ref="A234:J234"/>
    <mergeCell ref="A282:D282"/>
    <mergeCell ref="A283:J283"/>
    <mergeCell ref="A301:D301"/>
    <mergeCell ref="A302:D302"/>
    <mergeCell ref="E304:F304"/>
    <mergeCell ref="I304:J304"/>
    <mergeCell ref="A306:C306"/>
    <mergeCell ref="I306:J306"/>
    <mergeCell ref="A307:B307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2019-10-01T09:40:36Z</cp:lastPrinted>
  <dcterms:created xsi:type="dcterms:W3CDTF">2017-03-21T09:08:29Z</dcterms:created>
  <dcterms:modified xsi:type="dcterms:W3CDTF">2020-01-03T11:47:31Z</dcterms:modified>
  <cp:category/>
  <cp:version/>
  <cp:contentType/>
  <cp:contentStatus/>
</cp:coreProperties>
</file>