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11" sheetId="1" r:id="rId1"/>
  </sheets>
  <definedNames>
    <definedName name="_xlnm.Print_Titles" localSheetId="0">'01.11'!$6:$9</definedName>
    <definedName name="_xlnm.Print_Area" localSheetId="0">'01.11'!$A$1:$J$271</definedName>
  </definedNames>
  <calcPr fullCalcOnLoad="1"/>
</workbook>
</file>

<file path=xl/sharedStrings.xml><?xml version="1.0" encoding="utf-8"?>
<sst xmlns="http://schemas.openxmlformats.org/spreadsheetml/2006/main" count="795" uniqueCount="641">
  <si>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</si>
  <si>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</si>
  <si>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</si>
  <si>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</si>
  <si>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</si>
  <si>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</si>
  <si>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</si>
  <si>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</si>
  <si>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</si>
  <si>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</si>
  <si>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</si>
  <si>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</si>
  <si>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2220 "Медикаменти та перев'язувальні матеріали"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</si>
  <si>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</si>
  <si>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</si>
  <si>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</si>
  <si>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2220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</si>
  <si>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</si>
  <si>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</si>
  <si>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</si>
  <si>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</si>
  <si>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</si>
  <si>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</si>
  <si>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</si>
  <si>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</si>
  <si>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</si>
  <si>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</si>
  <si>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Фізична особа-підприємець Новіков Роман Станіслававич</t>
  </si>
  <si>
    <t>Електричні лампи розжарення (Лампи розжарювання в асортименті)</t>
  </si>
  <si>
    <t>Товариство з обмеженою відповідальністю "ТБ "АТТІС"</t>
  </si>
  <si>
    <t>Фізична особа-підприємець Колесник Тетяна Миколаївна</t>
  </si>
  <si>
    <t>Хлібопродукти (Вироби хлібобулочні різних найменувань)</t>
  </si>
  <si>
    <t>Вершкове масло (масло вершкове)</t>
  </si>
  <si>
    <t xml:space="preserve">Риба, рибне філе та інше м’ясо риби морожені </t>
  </si>
  <si>
    <t>№ 40/30-т від 21.03.17</t>
  </si>
  <si>
    <t>Технічне обслуговування і ремонт офісної техніки</t>
  </si>
  <si>
    <t>Підприємство Астри" ЗМГОТРІ "Общее дело"</t>
  </si>
  <si>
    <t>Публічне акціонерне товариство Страхова компанія "Оранта-Січ"</t>
  </si>
  <si>
    <t>Товариство з обмеженою відповідальністю "Умвельт-Запоріжжя</t>
  </si>
  <si>
    <t>№ 34003141 від 17.01.11</t>
  </si>
  <si>
    <t>Послуги зі збирання, вивезення та захоронення твердих побутових відходів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</si>
  <si>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</si>
  <si>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</si>
  <si>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тел.287-59-46</t>
  </si>
  <si>
    <t>Фізична особа-підприємець Різниченко Леся Валеріївна</t>
  </si>
  <si>
    <t>№ 36/30-т від 13.03.17</t>
  </si>
  <si>
    <t>Товариство з додатковою відповідальністю "Запорізький хлібозавод № 5"</t>
  </si>
  <si>
    <t>05465672</t>
  </si>
  <si>
    <t>№ 43/30-т від 24.03.17</t>
  </si>
  <si>
    <t>Товариство з обмеженою відповідальністю "Українська торгова компанія №1"</t>
  </si>
  <si>
    <t>39434914</t>
  </si>
  <si>
    <t>Молочні продукти різні (Кефір 2.5%, йогурт-1.5%, сметана - 15%, ряжанка 4%)</t>
  </si>
  <si>
    <t>№ 45/30-т від 29.03.17</t>
  </si>
  <si>
    <t>Сирні продукти (Сир кисломолочний 9%, ваговий; Маса сиркова з фруктовим наповнювачем 15,5%-23%, вагова; Сир твердий 45% ваговий)</t>
  </si>
  <si>
    <t xml:space="preserve">О.В. Маменко </t>
  </si>
  <si>
    <t>Юридична особа-нерезидент проекту (програми) міжнародної технічної допомоги Німецьке товариство міжнародного співробітництва (GIZ)ГмбХ</t>
  </si>
  <si>
    <t>х</t>
  </si>
  <si>
    <t>Медичне обладнання (інструменти, обладнання і матеріали)</t>
  </si>
  <si>
    <t>№ 57/30-т від 29.05.17</t>
  </si>
  <si>
    <t>М'ясо (м'ясо куряче та потрухи різні)</t>
  </si>
  <si>
    <t>Товариство з обмеженою відповідальністю "Запоріжпрімаресурс"</t>
  </si>
  <si>
    <t>Фізична особа-підприємець Крівошея Людмила Іванівна</t>
  </si>
  <si>
    <t xml:space="preserve">Частини для сільськогосподарської техніки </t>
  </si>
  <si>
    <t>Фізична особа-підприємець Козлов Павло Володимирович</t>
  </si>
  <si>
    <t>О.С.Надточій</t>
  </si>
  <si>
    <t>Охолоджувальні рідини (Тосол Фелікс (синій) 10л-45С)</t>
  </si>
  <si>
    <t>Послуги з ремонту і технічного обслуговування техніки (Послуги з технічного обслуговування обладнання котелень)</t>
  </si>
  <si>
    <t xml:space="preserve">Продукція борошномельно-круп'яної промисловості (Крупи в асортименті)  </t>
  </si>
  <si>
    <t>№ 01/10  від 12.01.18</t>
  </si>
  <si>
    <t>№ 02/10  від 15.01.18</t>
  </si>
  <si>
    <t>№ 03/10  від 11.01.18</t>
  </si>
  <si>
    <t>№ 04/10  від 11.01.18</t>
  </si>
  <si>
    <t>Електричні лампи розжарення (Енергоощадний випромінювач PAR38 150w)</t>
  </si>
  <si>
    <t>№ 05/10  від 18.01.18</t>
  </si>
  <si>
    <t>Фарби (фарби, 2.8 кг)</t>
  </si>
  <si>
    <t>№ 06/10  від 18.01.18</t>
  </si>
  <si>
    <t>Гашене вапно (паста 3 кг)</t>
  </si>
  <si>
    <t>№ 07/10  від 18.01.18</t>
  </si>
  <si>
    <t>Мастики, шпаклівки, замазки та розчинники (шпаклівки в асортименті)</t>
  </si>
  <si>
    <t>№ 08/10  від 18.01.18</t>
  </si>
  <si>
    <t>Кухонне приладдя, товари для дому та господарства і приладдя для закладів громадського харчування (Щітки, валики для фарбування)</t>
  </si>
  <si>
    <t>№ 09/10  від 18.01.18</t>
  </si>
  <si>
    <t>Абразивні вироби (сітка наждачна)</t>
  </si>
  <si>
    <t>№ 10/10  від 19.01.18</t>
  </si>
  <si>
    <t>№ 11/10  від 19.01.18</t>
  </si>
  <si>
    <t>Мастильні засоби (Моторна олива Юкойл 10w40, 5л, напівсинт.)</t>
  </si>
  <si>
    <t>№ 12/10  від 17.01.18</t>
  </si>
  <si>
    <t>Фізична особа-підприємець Воротінцев Денис Володимирович</t>
  </si>
  <si>
    <t>Будівельні товари (Вказівники та супутні вироби)</t>
  </si>
  <si>
    <t>Тумбочки (натуральна форма)</t>
  </si>
  <si>
    <t>б/н від 22.01.18</t>
  </si>
  <si>
    <t>№ 01/20-е  від 30.01.18</t>
  </si>
  <si>
    <t>Фізична особа-підприємець Шиян Сергій Павлович</t>
  </si>
  <si>
    <t xml:space="preserve">Крохмалі та крохмалепродукти (крохмаль картопляний)  </t>
  </si>
  <si>
    <t>Продукція тваринництва та супутня продукція (яйця курячі харчові вищої категорії)</t>
  </si>
  <si>
    <t>Молоко та вершки (молоко коров’яче  пастеризоване)</t>
  </si>
  <si>
    <t>Оброблені фрукти та овочі (мармелад, повидло, сухофрукти)</t>
  </si>
  <si>
    <t xml:space="preserve">Крохмалі та крохмалепродукти (крупа манна)  </t>
  </si>
  <si>
    <t>Оброблені фрукти та овочі (ікра, томати консервоввані, огірки консервовані, кабачки консервовані, паста)</t>
  </si>
  <si>
    <t>Хлібопродукти, свіжовипечені хлібобулочні та кондитерські вироби  (Вироби хлібобулочні в асортименті)</t>
  </si>
  <si>
    <t>№ 01/30-е від 03.01.18</t>
  </si>
  <si>
    <t>№ 02/30-е від 03.01.18</t>
  </si>
  <si>
    <t>№ 03/30-е від 03.01.18</t>
  </si>
  <si>
    <t>№ 04/30-т від 09.01.18</t>
  </si>
  <si>
    <t>№ 05/30-е від 03.01.18</t>
  </si>
  <si>
    <t>№ 06/30-т від 09.01.18</t>
  </si>
  <si>
    <t>№ 07/30-е від 03.01.18</t>
  </si>
  <si>
    <t>№ 08/30-т від 09.01.18</t>
  </si>
  <si>
    <t>№ 09/30-т від 16.01.18</t>
  </si>
  <si>
    <t>Товариство з обмеженою відповідальністю "ЮГ-АГРОС"</t>
  </si>
  <si>
    <t xml:space="preserve">Комунальна установа "Веселівський психоневрологічний інтернат" Запорізької обласної ради </t>
  </si>
  <si>
    <t>Відшкодування вартості харчування</t>
  </si>
  <si>
    <t>б/н від 31.01.18</t>
  </si>
  <si>
    <t>03191259</t>
  </si>
  <si>
    <t>№ 02/40 від 12.01.18</t>
  </si>
  <si>
    <t>Послуги провайдерів (Інтернет тариф 6М)</t>
  </si>
  <si>
    <t>№ 03/40 від 12.01.18</t>
  </si>
  <si>
    <t>№ 05/40 від 12.01.18</t>
  </si>
  <si>
    <t>№ 06/40 від 19.01.18</t>
  </si>
  <si>
    <t>№ 06/09/02 від 19.01.18</t>
  </si>
  <si>
    <t>Страхові послуги (Обовязкове особисте страхування водіїв від нещасних випадків на транспорті)</t>
  </si>
  <si>
    <t>№ 697 від 01.01.06</t>
  </si>
  <si>
    <t>Комунальне підприємство «Водоканал» ЗОР</t>
  </si>
  <si>
    <t>Питна вода</t>
  </si>
  <si>
    <t>03327121</t>
  </si>
  <si>
    <t>№ 14/10  від 02.02.18</t>
  </si>
  <si>
    <t>Деревина ( дошка 40х2000мм)</t>
  </si>
  <si>
    <t>№ 15/10  від 02.02.18</t>
  </si>
  <si>
    <t>Ланцюги (ланцюг 3-х кінцевий ф 6мм)</t>
  </si>
  <si>
    <t>Приватне підприємство "ОККО-КОНТРАКТ"</t>
  </si>
  <si>
    <t>№ 19/10-т  від 01.02.18</t>
  </si>
  <si>
    <t>Нафта і дистиляти (Бензин А-92, євро 5, картки на пальне; дизельне пальне. картки на пальне)</t>
  </si>
  <si>
    <t>Газове паливо (Пропан скраплений, картки на пальне)</t>
  </si>
  <si>
    <t>№ 20/10-т  від 06.02.18</t>
  </si>
  <si>
    <t>Продукція рослинництва, у тому числі тепличного (кімнатні квіти)</t>
  </si>
  <si>
    <t>Фізична особа-підприємець Кондрашова Ірина Петрівна</t>
  </si>
  <si>
    <t>№ 23/10  від 14.02.18</t>
  </si>
  <si>
    <t>№ 25/10  від 14.02.18</t>
  </si>
  <si>
    <t>Вироби з дроту (підставка під квіти металева)</t>
  </si>
  <si>
    <t>№ 26/10  від 09.02.18</t>
  </si>
  <si>
    <t>Товариство з обмеженою відповідальністю "МДІНА, ЛТД"</t>
  </si>
  <si>
    <t>Котельні установки (Допоміжне обладнання для котлів)</t>
  </si>
  <si>
    <t>№ 27/10-е  від 12.02.18</t>
  </si>
  <si>
    <t>Товариство з обмеженою відповідальністю "ЧС ГРУП"</t>
  </si>
  <si>
    <t>Туалетний папір, носові хустинки, рушники для рук і серветки (туалетний папір)</t>
  </si>
  <si>
    <t>№ 29/10-е  від 12.02.18</t>
  </si>
  <si>
    <t>Товариство з обмеженою відповідальністю "СВІКОМ"</t>
  </si>
  <si>
    <t>Парфуми, засоби гігієни та презервативи (мило,зубна паста, щітки)</t>
  </si>
  <si>
    <t>№ 35/10-е/1  від 20.02.18</t>
  </si>
  <si>
    <t>Продукція для чищення (засоби дляпрання, засоби для миття та чищення)</t>
  </si>
  <si>
    <t>Фізична особа-підприємець Барменков Володимир Борисович</t>
  </si>
  <si>
    <t>Азотні добрива (Селітра аміачна марки Б)</t>
  </si>
  <si>
    <t>№ 22/10  від 19.02.18</t>
  </si>
  <si>
    <t>№ 24/10  від 14.02.18</t>
  </si>
  <si>
    <t>Фурнітура різна (горщики, вазони для квітів)</t>
  </si>
  <si>
    <t>№ 13/10  від 05.02.18</t>
  </si>
  <si>
    <t>Конструкційні матеріали (цемент М400)</t>
  </si>
  <si>
    <t>№ 16/10  від 05.02.18</t>
  </si>
  <si>
    <t>Клеї (клей для плитки Д011/5 кг)</t>
  </si>
  <si>
    <t>№ 17/10  від 05.02.18</t>
  </si>
  <si>
    <t>Пластмасові вироби (Пластмасові вироби різні)</t>
  </si>
  <si>
    <t>№ 18/10  від 05.02.18</t>
  </si>
  <si>
    <t>Плити, листи, стрічки та фольга, пов’язані з конструкційними матеріалами (плівка самоклеюча 15м)</t>
  </si>
  <si>
    <t>№ 21/10-е  від 05.02.18</t>
  </si>
  <si>
    <t>Україно-Американське Товариство з обмеженою  відповідальністю з іноземними інвестиціями "Євромікс"</t>
  </si>
  <si>
    <t>Папір санітарно-гігієнічного призначення (Гігієнічні прокладки)</t>
  </si>
  <si>
    <t>№ 28/10  від 13.02.18</t>
  </si>
  <si>
    <t>Приватне підприємство "Камелот"</t>
  </si>
  <si>
    <t>Столярні вироби (вікна, віконна та дверна фурнітура)</t>
  </si>
  <si>
    <t>№ 33/10-е  від 15.02.18</t>
  </si>
  <si>
    <t>Товариство з обмеженою відповідальністю  "Альтернатива Трейд"</t>
  </si>
  <si>
    <t>Засоби для догляду за малюками (Підгузники для дорослих )</t>
  </si>
  <si>
    <t>№ 10/30-т від 29.01.18</t>
  </si>
  <si>
    <t>Молочні продукти різні (Кефір, йогурт, сметана, ряжанка)</t>
  </si>
  <si>
    <t>№ 11/30-е від 24.01.18</t>
  </si>
  <si>
    <t>Харчові жири (маргарин м’який, середньо-калорійний)</t>
  </si>
  <si>
    <t>№ 16/30-т від 02.02.18</t>
  </si>
  <si>
    <t>М'ясо (м'ясо куряче; печінка куряча)</t>
  </si>
  <si>
    <t>№ 14/30-т від 29.01.18</t>
  </si>
  <si>
    <t>№ 17/30-е від 01.02.18</t>
  </si>
  <si>
    <t>Товариство з обмеженою відповідальністю "Алан»</t>
  </si>
  <si>
    <t>М’ясопродукти (Ковбасні вироби різних найменувань)</t>
  </si>
  <si>
    <t>№ 12/30-т від 02.02.18</t>
  </si>
  <si>
    <t>Овочі, фрукти та горіхи (фрукти свіжі в асортименті)</t>
  </si>
  <si>
    <t>№ 13/30-т від 02.02.18</t>
  </si>
  <si>
    <t>Риба, рибне філе та інше м’ясо риби морожені (риба морожена)</t>
  </si>
  <si>
    <t>№ 15/30-т від 05.02.18</t>
  </si>
  <si>
    <t>Сушена чи солена риба; риба в розсолі; копчена риба (оселедець с/с)</t>
  </si>
  <si>
    <t>№ 18/30-т від 12.02.18</t>
  </si>
  <si>
    <t>Фізична особа-підприємець Удовиченко Павло Володимирович</t>
  </si>
  <si>
    <t>Зернові культури та картопля (картопля )</t>
  </si>
  <si>
    <t>№ 1 від 02.02.18</t>
  </si>
  <si>
    <t>Фізична особа-підприємець Жовнерчук Володимир Леонідович</t>
  </si>
  <si>
    <t>Послуги з ремонту і технічного обслуговування техніки (Поточний ремонт насосного агрегату ЕЦВ 6-6.5-140)</t>
  </si>
  <si>
    <t>№ 2 від 14.02.18</t>
  </si>
  <si>
    <t>№ 61/02/47 від 26.01.18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</si>
  <si>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</si>
  <si>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</si>
  <si>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01/40 від 05.02.18</t>
  </si>
  <si>
    <t xml:space="preserve"> Фізична особа-підприємець Зозуля Дар'я Петрівна</t>
  </si>
  <si>
    <t>Зоологічні послуги (Обслуговування акваріуму)</t>
  </si>
  <si>
    <t>№ 07/40 від 14.02.18</t>
  </si>
  <si>
    <t>Фізична особа-підприємець Зеленюк  Анатолій Дмитрович</t>
  </si>
  <si>
    <t>Послуги з ремонту і технічного обслуговування техніки (поточний ремонт машини для нарізання овочів МРО-360)</t>
  </si>
  <si>
    <t>№ 08/40 від 02.02.18</t>
  </si>
  <si>
    <t>Комунальний заклад "Запорізька центральна районна лікарня" Запорізької районної ради</t>
  </si>
  <si>
    <t>Послуги лікувальних закладів та супутні послуги (проведення періодичний медичних оглядів)</t>
  </si>
  <si>
    <t>Фізична особа-підприємець Бєлєв Валерій Володимирович</t>
  </si>
  <si>
    <t>№ 09/40 від 14.02.18</t>
  </si>
  <si>
    <t xml:space="preserve">Послуги з управління, ремонту та експлуатації автотранспортних парків (поточний ремонт автомобіля ) </t>
  </si>
  <si>
    <t>№ 10/40 від 19.02.18</t>
  </si>
  <si>
    <t>Фізична особа-підприємець Кузьменко Володимир Іванович</t>
  </si>
  <si>
    <t>Послуги зі встановлення радіо-, телевізійної, аудіо- та відеоапаратури (послуги з побудови, створення і впровадження системи відеоспостереження)</t>
  </si>
  <si>
    <t>№ 11/40 від 14.02.18</t>
  </si>
  <si>
    <t>Фізична особа-підприємець Дичек Микола Григорович</t>
  </si>
  <si>
    <t>Послуги з ремонту і технічного обслуговування мототранспортних засобів і супутнього обладнання (ремонт двигуна Д-240)</t>
  </si>
  <si>
    <t>№ 06/09/04 від 19.01.18</t>
  </si>
  <si>
    <t>Страхові послуги (Обов’язкове страхування цивільно-правової відповідальності власників наземних транспортних засобів)</t>
  </si>
  <si>
    <t>б/н</t>
  </si>
  <si>
    <t>Продукція підсобного господарства (натуральна форма)</t>
  </si>
  <si>
    <t>№ 30/10  від 01.03.18</t>
  </si>
  <si>
    <t>Фізична особа-підприємець Лазарчук Наталя Миколаївна</t>
  </si>
  <si>
    <t>Фурнітура різна (наповнення акваріуму)</t>
  </si>
  <si>
    <t>№ 31/10  від 01.03.18</t>
  </si>
  <si>
    <t>№ 32/10  від 01.03.18</t>
  </si>
  <si>
    <t>Сільськогосподарські культури, продукція товарного садівництва та рослинництва (насіння овочевих культур)</t>
  </si>
  <si>
    <t>Агрохімічна продукція (інсектициди)</t>
  </si>
  <si>
    <t>№ 34/10  від 01.03.18</t>
  </si>
  <si>
    <t>Приватне підприємство «СТД»</t>
  </si>
  <si>
    <t xml:space="preserve">Ланцюги (елементи ланцюгів) </t>
  </si>
  <si>
    <t>№ 35/10-е  від 21.02.18</t>
  </si>
  <si>
    <t>Запасні частини до вантажних транспортних засобів, фургонів та легкових автомобілів (ресора ГАЗ 32213)</t>
  </si>
  <si>
    <t>Товариство з обмеженою відповідальністю "СП ТАТА ГРУП"</t>
  </si>
  <si>
    <t>№ 37/10  від 01.03.18</t>
  </si>
  <si>
    <t>Фізична особа підприємець Коломоєць Євген Володимирович</t>
  </si>
  <si>
    <t>Телевізійне й аудіовізуальне обладнання (відеообладнання)</t>
  </si>
  <si>
    <t>№ 38/10  від 01.03.18</t>
  </si>
  <si>
    <t>Гумові вироби (Ізоляційна стрічка)</t>
  </si>
  <si>
    <t>№ 39/10  від 14.03.18</t>
  </si>
  <si>
    <t>Вироби різні з канату, мотузки, шпагату та сітки (Сітка скловолокно 2.5х2.5)</t>
  </si>
  <si>
    <t>№ 42/10  від 14.03.18</t>
  </si>
  <si>
    <t>№ 43/10  від 14.03.18</t>
  </si>
  <si>
    <t>Електричне обладнання для двигунів і транспортних засобів (генератор, регулятор напруги)</t>
  </si>
  <si>
    <t>Механічні запасні частини, крім двигунів і частин двигунів (захист двигуна, бендікс стартера)</t>
  </si>
  <si>
    <t>№ 45/10  від 19.03.18</t>
  </si>
  <si>
    <t>№ 46/10  від 19.03.18</t>
  </si>
  <si>
    <t>Кріпильні деталі (Саморізи, гвинти)</t>
  </si>
  <si>
    <t xml:space="preserve">Частини ручних інструментів (Круги відрізні) </t>
  </si>
  <si>
    <t>Товариство з обмеженою відповідальністю "БаДМ"</t>
  </si>
  <si>
    <t>Фармацевтична продукція (Ліки в асортименті)</t>
  </si>
  <si>
    <t>№ 02/20-т  від 12.03.18</t>
  </si>
  <si>
    <t>№ 03/20 від 12.03.18</t>
  </si>
  <si>
    <t>Фізична особа-підприємець Новиков Сергій Васильович</t>
  </si>
  <si>
    <t>Медичне обладнання, фармацевтична продукція та засоби особистої гігієни (ветеринарні препарати)</t>
  </si>
  <si>
    <t>№ 22/30-е від 27.02.18</t>
  </si>
  <si>
    <t>Фізична особа-підприємець Бойко Андрій Вадимович</t>
  </si>
  <si>
    <t>Цукор і супутня продукція (Цукор)</t>
  </si>
  <si>
    <t>№ 4849 від 22.05.17</t>
  </si>
  <si>
    <t>Публічне акціонерне товариство "Укртелеком"</t>
  </si>
  <si>
    <t>Телекомунікаційні послуги</t>
  </si>
  <si>
    <t>№ 13/40 від 14.03.18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</si>
  <si>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</si>
  <si>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Фізична особа-підприємець Ключко Анна Олександрівна</t>
  </si>
  <si>
    <t>№ 04/40 від 12.01.18</t>
  </si>
  <si>
    <t>Консультаційні послуги у галузях інженерії та будівництва (Проведення енергетичного обстеження (енергоаудиту)</t>
  </si>
  <si>
    <t>Запорізька районна державна лікарня ветеринарної медицини</t>
  </si>
  <si>
    <t>00699164</t>
  </si>
  <si>
    <t>Ветеринарні послуги</t>
  </si>
  <si>
    <t>№ 12/40 від 01.03.18</t>
  </si>
  <si>
    <t>Дослідницькі послуги (Інвентаризація джерел викидів забруднюючих речовин в атмосферне повітря стаціонарними джерелами. Отримання дозволу на викиди)</t>
  </si>
  <si>
    <t>Товариство з обмеженою відповідальністю НВП "Дніпроенергосталь"</t>
  </si>
  <si>
    <t>№ 01-18-03 від 01.02.18</t>
  </si>
  <si>
    <t>№ 39/10-1 від 14.03.18</t>
  </si>
  <si>
    <t>Електричні побутові прилади (Тени)</t>
  </si>
  <si>
    <t>№ 41/10-е  від 07.03.18</t>
  </si>
  <si>
    <t>Сидіння, стільці та супутні вироби і частини до них (Дивани)</t>
  </si>
  <si>
    <t>Фізична особа-підприємець  Гайворонський Олег Володимирович</t>
  </si>
  <si>
    <t>№ 47/10-е  від 19.03.18</t>
  </si>
  <si>
    <t>Товариство з обмеженою відповідальністю "Вотан Україна"</t>
  </si>
  <si>
    <t>Гумові вироби (клейонка прогумована підкладна)</t>
  </si>
  <si>
    <t>№ 50/10-е  від 23.03.18</t>
  </si>
  <si>
    <t>Електричні лампи розжарення (Лампи енергозберігаючі, лампи бактерицидні)</t>
  </si>
  <si>
    <t>Товариство з обмеженою відповідальністю "Тотал корпорейшн"</t>
  </si>
  <si>
    <t>Макаронні вироби (Макаронні вироби в асортименті)</t>
  </si>
  <si>
    <t>№ 19/30-е від 21.02.18</t>
  </si>
  <si>
    <t>№ 20/30-т від 21.02.18</t>
  </si>
  <si>
    <t>Овочі, фрукти та горіхи (капуста, морква, буряк, цибуля)</t>
  </si>
  <si>
    <t>№ 21/30-е від 23.02.18</t>
  </si>
  <si>
    <t>Кава, чай та супутня продукція  (Напій розчинний "Галич-Ранок"; чай чорний байховий купажований листовий) чай)</t>
  </si>
  <si>
    <t>№ 23/30 від 07.03.18</t>
  </si>
  <si>
    <t>КЕКВ 3110 "Придбання обладнання і предметів довгострокового користування"</t>
  </si>
  <si>
    <t>Всього за КЕКВ 3110</t>
  </si>
  <si>
    <t>№ 01/3110-е від 14.03.18</t>
  </si>
  <si>
    <t>Машини для обробки продуктів харчування, виробництва напоїв та обробки тютюну (Овочерізка електрична (Robot Coupe CL 30 Bisttro)</t>
  </si>
  <si>
    <t>Товариство з обмеженою відповідальністю "ОСВ ТРЕЙДИНГ"</t>
  </si>
  <si>
    <t>Продукти харчування (натуральна форма)</t>
  </si>
  <si>
    <t>б/н від 29.03.18</t>
  </si>
  <si>
    <t>Приватна особа Шапошніков Юрій Валерійович</t>
  </si>
  <si>
    <t>Бетономішалка (натуральна форма)</t>
  </si>
  <si>
    <t>Приватна особа Пятовол Віра Юріївна</t>
  </si>
  <si>
    <t>Інструменти та нитки для вязання (натуральна форма)</t>
  </si>
  <si>
    <t>Приватна особа Гашенко Валерій Станіславович</t>
  </si>
  <si>
    <t>Книжки (натуральна форма)</t>
  </si>
  <si>
    <t>Приватне підприєство "Агрофірма "Славутич"</t>
  </si>
  <si>
    <t>Силос (натуральна форма)</t>
  </si>
  <si>
    <t>№ 18-8-364 від 26.03.18</t>
  </si>
  <si>
    <t>Публічне акціонерне товариство "Укрпошта"</t>
  </si>
  <si>
    <t>Газети (періодичні видання)</t>
  </si>
  <si>
    <t>№ 48/10-т  від 22.03.18</t>
  </si>
  <si>
    <t>№ 49/10-т  від 27.03.18</t>
  </si>
  <si>
    <t>№ 51/10  від 04.04.18</t>
  </si>
  <si>
    <t>Офісне устаткування та приладдя різне (печатка)</t>
  </si>
  <si>
    <t>Приватна Виробничо-Комерційна Фірма "Калина"</t>
  </si>
  <si>
    <t>№ 52/10  від 05.04.18</t>
  </si>
  <si>
    <t>Двигуни та їх частини</t>
  </si>
  <si>
    <t>№ 54/10  від 11.04.18</t>
  </si>
  <si>
    <t>Протипожежне, рятувальне та захисне обладнання</t>
  </si>
  <si>
    <t>Медичне обладнання (миттєвий спалювач голок та деструктор для шприців)</t>
  </si>
  <si>
    <t>№ 04/20-е від 11.04.18</t>
  </si>
  <si>
    <t>Фізична особа-підприємець Балюта Любов Іванівна</t>
  </si>
  <si>
    <t>№ 20 від 19.04.18</t>
  </si>
  <si>
    <t>№ 21 від 20.04.18</t>
  </si>
  <si>
    <t>№ 010418 від 02.04.18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</si>
  <si>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</si>
  <si>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</si>
  <si>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</si>
  <si>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14/40 від 03.04.18</t>
  </si>
  <si>
    <t>Аналітичні послуги (Послуги з розробки Повідомлення про ідентифікацію обєкта підвищеної небезпеки)</t>
  </si>
  <si>
    <t>Товариство з обмеженою відповідальністю Компанія "ГАЗКОМБИТПРОМСЕРВІС"</t>
  </si>
  <si>
    <t>№ 148/3-ТО від 06.04.18</t>
  </si>
  <si>
    <t>Послуги з ремонту і технічного обслуговування техніки (Технічне обслуговування системи внутрішнього газопостачання квартир відомчого житла)</t>
  </si>
  <si>
    <t>Товариство з обмеженою відповідальністю "СТРОГАЗ"</t>
  </si>
  <si>
    <t>№ 15/40 від 02.04.18</t>
  </si>
  <si>
    <t>Послуги з ремонту і технічного обслуговування вимірювальних, випробувальних і контрольних приладів (держповірка манометрів загального призначення)</t>
  </si>
  <si>
    <t>Колективне підприємство Запорізької обласної організації Товариство Сприяння Обороні України "Виробнича майстерня"</t>
  </si>
  <si>
    <t>Послуги з ремонту і технічного обслуговування охолоджувальних установок</t>
  </si>
  <si>
    <t>№ 23/40 від 23.04.18</t>
  </si>
  <si>
    <t xml:space="preserve"> Фізична особа-підприємець Красилюк Сергій Володимирович</t>
  </si>
  <si>
    <t>№ 05-18 від 16.04.18</t>
  </si>
  <si>
    <t>Товариство з обмеженою відповідальністю "ЮГІНСЕРВІС"</t>
  </si>
  <si>
    <t>Послуги з технічного огляду та випробувань (профілактичні вимірювання та випробування електрообладнання)</t>
  </si>
  <si>
    <t>№ 44/10-е  від 14.03.18</t>
  </si>
  <si>
    <t>Спідня білизна (труси жіночі; панталони; нічні сорочки)</t>
  </si>
  <si>
    <t>Фізична особа-підприємець Єремчук Олег Васильович</t>
  </si>
  <si>
    <t>№ 50/10-1  від 06.04.18</t>
  </si>
  <si>
    <t>Електричні побутові прилади (машинка для підстригання, фен, випрямляч для волосся)</t>
  </si>
  <si>
    <t>Привате акціонерне товариство "Нова лінія"</t>
  </si>
  <si>
    <t>№ 53/10  від 11.04.18</t>
  </si>
  <si>
    <t>Арматура трубопровідна: крани, вентилі, клапани та подібні пристрої (кульові крани)</t>
  </si>
  <si>
    <t>Фурнітура різна (Похоронне приладдя)</t>
  </si>
  <si>
    <t xml:space="preserve">Фізична особа-підприємець Столярова Тетяна Євгенівна </t>
  </si>
  <si>
    <t>№ 55/10  від 11.04.18</t>
  </si>
  <si>
    <t>№ 56/10-е  від 11.04.18</t>
  </si>
  <si>
    <t>Приватне підприємство "Стробіл"</t>
  </si>
  <si>
    <t>Кухонне приладдя, товари для дому та господарства і приладдя для закладів громадського харчування (Мітли, совки, щітки, губки)</t>
  </si>
  <si>
    <t>№ 58/10-е  від 11.04.18</t>
  </si>
  <si>
    <t>Елементи електричних схем (кабель, коробки для автоматичних вимикачів та монтажу електричних зєднань, розетки)</t>
  </si>
  <si>
    <t>Фізична особа-підприємець Шкода Євгеній Валерійович</t>
  </si>
  <si>
    <t>Сирні продукти (Сир кисломолочний; Маса сиркова; Сир твердий )</t>
  </si>
  <si>
    <t>Заправки та приправи  (сіль кухонна харчова)</t>
  </si>
  <si>
    <t>№ 392 від 27.04.18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</si>
  <si>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</si>
  <si>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</si>
  <si>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</si>
  <si>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</si>
  <si>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</si>
  <si>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</si>
  <si>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№ 09Л-18-07 від 02.05.18</t>
  </si>
  <si>
    <t>Лабораторні послуги (Лабораторні дослідження зворотних вод)</t>
  </si>
  <si>
    <t>№ 1СК1893 від 21.05.18</t>
  </si>
  <si>
    <t>Товариство з обмеженою відповідальністю "ТЕХНОЦЕНТР МАЯК"</t>
  </si>
  <si>
    <t>Пакети програмного забезпечення для фінансового аналізу та бухгалтерського обліку (Комп`ютерна програма:  «UA-Бюджет на 5 користувачів»)</t>
  </si>
  <si>
    <t>Послуги з ремонту і технічного обслуговування персональних комп’ютерів (Послуги з сервісу технічної підтримки облікової системи, а також пов'язані із супроводом консультаційні послуги)</t>
  </si>
  <si>
    <t>№ ЗПМЗТ000479 від 21.05.18</t>
  </si>
  <si>
    <t>№ 24/30-е від 25.04.18</t>
  </si>
  <si>
    <t>Фізична особа-підприємець Чебукін Ігор Станіславович</t>
  </si>
  <si>
    <t>№ 25/30-е від 24.04.18</t>
  </si>
  <si>
    <t xml:space="preserve">Продукція борошномельно-круп'яної промисловості (Борошно пшеничне в/г)  </t>
  </si>
  <si>
    <t>№ 26/30-е від 07.05.18</t>
  </si>
  <si>
    <t xml:space="preserve">Продукція борошномельно-круп'яної промисловості (Крупи в асортименті) </t>
  </si>
  <si>
    <t>№ 57/10-е  від 11.04.18</t>
  </si>
  <si>
    <t>Котельні установки (Концентричні ділянки, коліно)</t>
  </si>
  <si>
    <t>Фізична особа-підприємець Ботвін Олександр Іванович</t>
  </si>
  <si>
    <t>№ 61/10  від 02.05.18</t>
  </si>
  <si>
    <t>Електричні акумулятори (Акумулятор 6 ст 50 Саду 207*175*190 420)</t>
  </si>
  <si>
    <t>№ 62/10  від 08.05.18</t>
  </si>
  <si>
    <t>Шини для транспортних засобів великої та малої тоннажності (Шина 175/70 R13 Росава БЦ-20 "всесезон")</t>
  </si>
  <si>
    <t>№ 63/10-т  від 08.05.18</t>
  </si>
  <si>
    <t>№ 65/10  від 21.05.18</t>
  </si>
  <si>
    <t>Каналізаційне обладнання (Труба, хомути)</t>
  </si>
  <si>
    <t>№ 89-ВРХ/Б від 23.04.18</t>
  </si>
  <si>
    <t>Державне підприємство "Агенство з ідентифікації і реєстрації тварин"</t>
  </si>
  <si>
    <t>Ветеринарні послуги (Послуги з ідентифікації великої рогатої худоби)</t>
  </si>
  <si>
    <t>№ 66/10  від 08.05.18</t>
  </si>
  <si>
    <t>Сільськогосподарські культури, продукція товарного садівництва та рослинництва (насіння суданки)</t>
  </si>
  <si>
    <t>№ 59/10-е  від 12.04.18</t>
  </si>
  <si>
    <t>Електрична апаратура для комутування та захисту електричних кіл (вимикачі)</t>
  </si>
  <si>
    <t>Товариство з обмеженою відповідальністю "Компанія Інтекс Груп"</t>
  </si>
  <si>
    <t>№ 63/10-е  від 07.05.18</t>
  </si>
  <si>
    <t>Офісне устаткування та приладдя різне ( канцелярське приладдя в асортименті)</t>
  </si>
  <si>
    <t>№ 64/10-е  від 07.05.18</t>
  </si>
  <si>
    <t>Товариство з обмеженою відповідальністю  "Торговий дім "Хіміндустрія"</t>
  </si>
  <si>
    <t>Основні неорганічні хімічні речовини (Карбонат натрію (сода кальцинована)</t>
  </si>
  <si>
    <t>№ 36/10-е  від 26.02.18</t>
  </si>
  <si>
    <t>Конструкційні матеріали (карнизи та їх частини)</t>
  </si>
  <si>
    <t xml:space="preserve">Товариство з обмеженою відповідальністю "Будівельна гільдія "Капітал" </t>
  </si>
  <si>
    <t>№ 60/10-е  від 19.04.18</t>
  </si>
  <si>
    <t>Товариство з обмеженою відповідальністю  "Текстиль Декор"</t>
  </si>
  <si>
    <t>Вироби домашнього текстилю (ламбрикени та тюль на стелеві карнизи)</t>
  </si>
  <si>
    <t>№ 69/10-е  від 23.05.18</t>
  </si>
  <si>
    <t>Замки, ключі та петлі (замки та їх комплектуючі)</t>
  </si>
  <si>
    <t>Фізична особа-підприємець Івахно Ігор Валентинович</t>
  </si>
  <si>
    <t>№ 72/10-е  від 07.06.18</t>
  </si>
  <si>
    <t>Фізична особа-підприємець Скаковський Володимир Михайлович</t>
  </si>
  <si>
    <t>Продукція для чищення (порошок пральний )</t>
  </si>
  <si>
    <t>№ 64/10-т  від 08.05.18</t>
  </si>
  <si>
    <t>№ 67/10-е  від 14.05.18</t>
  </si>
  <si>
    <t>Фізична особа-підприємець Кущ Іван Олексійович</t>
  </si>
  <si>
    <t>Офісне устаткування та приладдя різне (канцелярське приладдя в асортименті)</t>
  </si>
  <si>
    <t>№ 18-8-789 від 17.06.18</t>
  </si>
  <si>
    <t>Газети (періодичні видання 2 півріччя)</t>
  </si>
  <si>
    <t>№ 68-10/31-681 від 22.05.18</t>
  </si>
  <si>
    <t>Марки (марки поштові)</t>
  </si>
  <si>
    <t>№ 70/10-е  від 29.05.18</t>
  </si>
  <si>
    <t>Вироби з дроту (електроди)</t>
  </si>
  <si>
    <t>Товариство з обмеженою відповідальністю "ЮНІК-СЕРВІС"</t>
  </si>
  <si>
    <t>№ 05/20-е від 01.06.18</t>
  </si>
  <si>
    <t>Агрохімічна продукція (Дезинфекційні засоби)</t>
  </si>
  <si>
    <t>№ 27/30-е від 06.06.18</t>
  </si>
  <si>
    <t>Рафіновані олії та жири ( Олія соняшникова рафінована)</t>
  </si>
  <si>
    <t>№ 14/30-06 від 14.06.18</t>
  </si>
  <si>
    <t>03188582</t>
  </si>
  <si>
    <t xml:space="preserve">Комунальна установа "Преславський психоневрологічний інтернат" Запорізької обласної ради </t>
  </si>
  <si>
    <t xml:space="preserve">Послуги з ремонту і технічного обслуговування техніки </t>
  </si>
  <si>
    <t>Відновлення вартості проїзду</t>
  </si>
  <si>
    <t>Працівники інтернату</t>
  </si>
  <si>
    <t>№ 71/10  від 18.06.18</t>
  </si>
  <si>
    <t>Товариство з обмеженою відповідальністю  "Дніпротрактор"</t>
  </si>
  <si>
    <t>№ 684/23 від 01.06.18</t>
  </si>
  <si>
    <t>Публічне акціонерне товариство "Запоріжжяобленерго"</t>
  </si>
  <si>
    <t>00130926</t>
  </si>
  <si>
    <t>Повторне опломбування електролічильника після зняття пломб за зверненням споживача</t>
  </si>
  <si>
    <t>Державне підприємство "Запорізький науково-виробничий центр стандартизації, метрології та сертифікації"</t>
  </si>
  <si>
    <t>04725958</t>
  </si>
  <si>
    <t>Метрологічні послуги</t>
  </si>
  <si>
    <t>№ 9262м-2018Б від 06.06.18</t>
  </si>
  <si>
    <t>Портативна акустична система з мікрофоном, бас-гітара з комбопідсилювачем (натуральна форма)</t>
  </si>
  <si>
    <t>б/н від 02.05.18</t>
  </si>
  <si>
    <t>Церковна атрибутика(натуральна форма)</t>
  </si>
  <si>
    <t xml:space="preserve">Приватна особа Савело Н.І. </t>
  </si>
  <si>
    <t xml:space="preserve">б/н </t>
  </si>
  <si>
    <t xml:space="preserve">Приватна особа Димченко М.М. </t>
  </si>
  <si>
    <t>Столи письмові (натуральна форма)</t>
  </si>
  <si>
    <t>Фізична особа-підприємець Ряжських Анжела Іванівна</t>
  </si>
  <si>
    <t>№ 72/10  від 02.07.18</t>
  </si>
  <si>
    <t>Магістралі, трубопроводи, труби, обсадні труби, тюбінги та супутні вироби (труби, швелери)</t>
  </si>
  <si>
    <t>№ 75/10-е  від 06.07.18</t>
  </si>
  <si>
    <t>Поліетиленові мішки та пакети для сміття (пакети для сміття в асортименті)</t>
  </si>
  <si>
    <t>№ 78/10  від 13.07.18</t>
  </si>
  <si>
    <t>Фізична особа-підприємець Дружкова Марія Іванівна</t>
  </si>
  <si>
    <t>Фарби (фарба акрилова, лак акриловий)</t>
  </si>
  <si>
    <t>№ 79/10  від 13.07.18</t>
  </si>
  <si>
    <t>Клеї (стрижні клейові для термопістолету прозорі 11.2 ммх200 мм (50 шт)</t>
  </si>
  <si>
    <t>№ 80/10  від 13.07.18</t>
  </si>
  <si>
    <t>Газетний папір, папір ручного виготовлення та інший некрейдований папір або картон для графічних цілей (гофрований папір)</t>
  </si>
  <si>
    <t>№ 81/10  від 13.07.18</t>
  </si>
  <si>
    <t>Інвентар для спортивних ігор на відкритому повітрі (волосінь рибальська 0.8 ммх100м)</t>
  </si>
  <si>
    <t>№ 83/10  від 16.07.18</t>
  </si>
  <si>
    <t>Електричні лампи розжарення (лампи Luxel)</t>
  </si>
  <si>
    <t>№ 06/20 від 16.07.18</t>
  </si>
  <si>
    <t>Медичне обладнання (пакети для утилізації медичних відходів)</t>
  </si>
  <si>
    <t>№ 28/30-т від 02.07.18</t>
  </si>
  <si>
    <t>Фізична особа-підприємець Царюк Олена Валентинівна</t>
  </si>
  <si>
    <t>Зернові культури та картопля (картопля середньостигла)</t>
  </si>
  <si>
    <t>№ 29/30-т від 02.07.18</t>
  </si>
  <si>
    <t>Овочі, фрукти та горіхи (овочі середньостиглі та молоді в асортименті)</t>
  </si>
  <si>
    <t>№ 02/3110-е від 26.06.18</t>
  </si>
  <si>
    <t>Приватне торгово-виробниче мале підприємство "Діана"</t>
  </si>
  <si>
    <t>Машини для обробки продуктів харчування, виробництва напоїв та обробки тютюну (Хліборізка Empero EMP 3001 (Турція)</t>
  </si>
  <si>
    <t>№ 73/10-т  від 22.06.18</t>
  </si>
  <si>
    <t>Товариство з обмеженою відповідальністю "Торговий дім "Запоріжоілгруп"</t>
  </si>
  <si>
    <t>№ 74/10-т  від 22.06.18</t>
  </si>
  <si>
    <t>№ 82/10  від 16.07.18</t>
  </si>
  <si>
    <t>Знаряддя (свердло по металу 3 мм)</t>
  </si>
  <si>
    <t>№ 84/10  від 16.07.18</t>
  </si>
  <si>
    <t>Магістралі, трубопроводи, труби, обсадні труби, тюбінги та супутні вироби (шланги)</t>
  </si>
  <si>
    <t>№ 85/10  від 16.07.18</t>
  </si>
  <si>
    <t>Вироби з дроту (сітка-рабиця 50х50х200/10м)</t>
  </si>
  <si>
    <t>Садова техніка різна (мотокоса та комплектуючі)</t>
  </si>
  <si>
    <t>Товариство з обмеженою відповідальністю "ДНІПРОКОР"</t>
  </si>
  <si>
    <t>№ 90/10-е  від 06.08.18</t>
  </si>
  <si>
    <t>Мережеве обладнання</t>
  </si>
  <si>
    <t>№ 76/10  від 10.07.18</t>
  </si>
  <si>
    <t>№ 89/10-е  від 01.08.18</t>
  </si>
  <si>
    <t>Парфуми, засоби гігієни та презервативи (мило господарче рідке)</t>
  </si>
  <si>
    <t>№ 87/10  від 06.07.18</t>
  </si>
  <si>
    <t>Електричні побутові прилади (водонагрівачі)</t>
  </si>
  <si>
    <t>Конструкційні матеріали (плитка тротуарна, бордюри)</t>
  </si>
  <si>
    <t>№ 86/10  від 07.08.18</t>
  </si>
  <si>
    <t>Фізична особа-підприємець Єрмоленко Володимир Михайлович</t>
  </si>
  <si>
    <t>№ 88/10  від 06.07.18</t>
  </si>
  <si>
    <t>Світильники та освітлювальна арматура (ліхтарі)</t>
  </si>
  <si>
    <t>Продукція для чищення (пральний порошок, відбілювачі, підкрохмалювач)</t>
  </si>
  <si>
    <t>Фізична особа підприємець Овчінніков Ігор Ярославович</t>
  </si>
  <si>
    <t>№ 91/10-е  від 09.08.18</t>
  </si>
  <si>
    <t>№ 92/10-е  від 09.08.18</t>
  </si>
  <si>
    <t>Меблі для дому (матраци ватинові)</t>
  </si>
  <si>
    <t>Фізична особа підприємець Горбань Юрій Васильович</t>
  </si>
  <si>
    <t>№ 31/30-е від 01.08.18</t>
  </si>
  <si>
    <t>Какао; шоколад та цукрові кондитерські вироби (какао)</t>
  </si>
  <si>
    <t>№ 38/30-т від 13.08.18</t>
  </si>
  <si>
    <t>Товариство з обмеженою відповідальністю "Запороінвестторг"</t>
  </si>
  <si>
    <t>Риба, рибне філе та інше м’ясо риби морожені (оселедець свіжоморожений, мойва свіжоморожена)</t>
  </si>
  <si>
    <t>№ 40/30-т від 14.08.18</t>
  </si>
  <si>
    <t xml:space="preserve">Товариство з обмеженою відповідальністю "ЕкоФуд Днепр" </t>
  </si>
  <si>
    <t>Оброблені фрукти та овочі (повидло, суміш компотна, мармелад)</t>
  </si>
  <si>
    <t>№ 41/30-т від 15.08.18</t>
  </si>
  <si>
    <t>Товариство з обмеженою відповідальністю "Спарта-2015"</t>
  </si>
  <si>
    <t>Вершкове масло (масло вершкове моноліт)</t>
  </si>
  <si>
    <t>№ 03/3110-е від 16.07.18</t>
  </si>
  <si>
    <t>Машини для виробництва текстильних виробів( пральна машина МСТ - 50Е)</t>
  </si>
  <si>
    <t>№ 07/20-е від 06.08.18</t>
  </si>
  <si>
    <t>Приватна науково-виробнича фірма "Хімбіодез"</t>
  </si>
  <si>
    <t xml:space="preserve">Медичне обладнання (судна підкладні) </t>
  </si>
  <si>
    <t>№ 08/20-е від 21.08.18</t>
  </si>
  <si>
    <t xml:space="preserve">Медичне обладнання (ножиці хірургічні; кусачки кісткові) </t>
  </si>
  <si>
    <t>Фізична особа-підприємець Іванова Ольга Олександрівна</t>
  </si>
  <si>
    <t>№ 30/30-е від 01.08.18</t>
  </si>
  <si>
    <t>№ 32/30-е від 01.08.18</t>
  </si>
  <si>
    <t>Продукція тваринництва та супутня продукція (яйця курячі харчові 1с</t>
  </si>
  <si>
    <t>Фізична особа-підприємець Раскевич Володимир Михайлович</t>
  </si>
  <si>
    <t>Овочі, фрукти та горіхи (цибуля жовта ріпчата)</t>
  </si>
  <si>
    <t>№ 33/30-т від 03.08.18</t>
  </si>
  <si>
    <t>Фізична особа-підприємець Мендрик Євген Віталієвич</t>
  </si>
  <si>
    <t>№ 34/30-е від 07.08.18</t>
  </si>
  <si>
    <t>№ 35/30-т від 10.08.18</t>
  </si>
  <si>
    <t>Молочні продукти різні (Кефір,  сметана)</t>
  </si>
  <si>
    <t>№ 36/30-т від 10.08.18</t>
  </si>
  <si>
    <t>Сирні продукти (Маса сиркова з фруктовим наповнювачем; Сир твердий 50%)</t>
  </si>
  <si>
    <t>№ 37/30-т від 10.08.18</t>
  </si>
  <si>
    <t>Товариство з обмеженою відповідальністю "Вільнянський молокозавод"</t>
  </si>
  <si>
    <t>Товариство з обмеженою  відповідальністю "Вільнянський молокозавод"</t>
  </si>
  <si>
    <t>Товариство з обмеженою  відповідальністю "СІМБІ ПЛЮС"</t>
  </si>
  <si>
    <t>№ 39/30-т від 13.08.18</t>
  </si>
  <si>
    <t>М'ясо (м'ясо куряче-четверть)</t>
  </si>
  <si>
    <t>№ 40 від 17.08.18</t>
  </si>
  <si>
    <t xml:space="preserve">Комунальна установа "Бердянський геріатричний пансіонат" Запорізької обласної ради </t>
  </si>
  <si>
    <t>03188659</t>
  </si>
  <si>
    <t>№ 61/02/159 від 01.08.18</t>
  </si>
  <si>
    <t>№ 3КС-18/040-ТО від 13.08.18</t>
  </si>
  <si>
    <t>Фізична особа-підприємець Коваленко Станіслав Ігорович</t>
  </si>
  <si>
    <t>Послуги з ремонту і технічного обслуговування техніки (Послуги з технічного обслуговування комерційного вузла обліку газу)</t>
  </si>
  <si>
    <t>№ 92 від 22.08.18</t>
  </si>
  <si>
    <t>Комунальне підприємство "Запорізький обласний центр охорони праці" Запорізької обласної ради</t>
  </si>
  <si>
    <t>Лабораторні послуги (дослідження для атестації робочих місць за умовами праці)</t>
  </si>
  <si>
    <t>№ 77/10-е  від 10.07.18</t>
  </si>
  <si>
    <t>Приватне підприємство "Сангвіна"</t>
  </si>
  <si>
    <t>№ 95/10-т  від 03.09.18</t>
  </si>
  <si>
    <t>Нафта і дистиляти (Бензин А-92, євро 5, картки на пальне)</t>
  </si>
  <si>
    <t>№ 09/20-т  від 17.09.18</t>
  </si>
  <si>
    <t>Фармацевтична продукція (нейролептики)</t>
  </si>
  <si>
    <t>№ 10/20-т  від 17.09.18</t>
  </si>
  <si>
    <t>Фармацевтична продукція (терапевтичні препарати)</t>
  </si>
  <si>
    <t>№ 23 від 24.09.18</t>
  </si>
  <si>
    <t>Приватне підприємство "Зміївський машинобудівний завод"</t>
  </si>
  <si>
    <t>Фізична особа-підприємець Жовнерчук Мирослава Василівна</t>
  </si>
  <si>
    <t>Насоси та компресори (насосний агрегат ЕЦВ 6-6.5-120)</t>
  </si>
  <si>
    <t>б/н від 16.08.18</t>
  </si>
  <si>
    <t>Комунальна установа "Запорізький обласний центр з профілактики та боротьби зі СНІДом" Запорізької обласної ради</t>
  </si>
  <si>
    <t>Медичні препарати (натуральна форма)</t>
  </si>
  <si>
    <t>№ 42/30 від 05.09.18</t>
  </si>
  <si>
    <t>Продукція тваринництва та супутня продукція (натуральний мед)</t>
  </si>
  <si>
    <t>№ 94/10-т  від 03.09.18</t>
  </si>
  <si>
    <t xml:space="preserve"> Приватне підприємство "Промтехсервіс Запоріжжя"</t>
  </si>
  <si>
    <t>№ 838 від 14.09.18</t>
  </si>
  <si>
    <t>Послуги з ремонту і технічного обслуговування електричного і механічного устаткування будівель (Послуги з перевірки протипожежного стану і ефективності ДВК від газових приборів)</t>
  </si>
  <si>
    <t>про укладення договорів про закупівлю товарів, робіт і послуг та їх виконання за станом на 01.11.2018</t>
  </si>
  <si>
    <t>№ 102/10-е  від 09.10.18</t>
  </si>
  <si>
    <t>Спідня білизна (шкарпетки жіночі ангора з махрою)</t>
  </si>
  <si>
    <t>Фізична особа підприємець Збаравський Віталій Валерійович</t>
  </si>
  <si>
    <t>№ 103/10-е  від 04.10.18</t>
  </si>
  <si>
    <t>Взуття різне, крім спортивного та захисного (калоші жіночі на хутрі)</t>
  </si>
  <si>
    <t>Фізична особа підприємець  Єремчук Людмила Васильович</t>
  </si>
  <si>
    <t>№ 104/10-е  від 22.10.18</t>
  </si>
  <si>
    <t>Товариство з обмеженою відповідальністю "АСТ-СВІТЛОТЕХНІКА"</t>
  </si>
  <si>
    <t>Електричні лампи розжарення (лампи енергозберігаючі)</t>
  </si>
  <si>
    <t>№ 107/10-е  від 19.10.18</t>
  </si>
  <si>
    <t>Спідня білизна (жіночі колготи)</t>
  </si>
  <si>
    <t>№ 108/10-е  від 12.10.18</t>
  </si>
  <si>
    <t>Верхній одяг різний (жіночі сукні)</t>
  </si>
  <si>
    <t>№ 110/10-е  від 22.10.18</t>
  </si>
  <si>
    <t>Парфуми, засоби гігієни та презервативи(фарби для волося)</t>
  </si>
  <si>
    <t>№ 111/10-е  від 22.10.18</t>
  </si>
  <si>
    <t>Фізична особа підприємець Фоміних Ігор Миколайович</t>
  </si>
  <si>
    <t>Аксесуари до робочого одягу (рукавички гумові універсальні з латексу)</t>
  </si>
  <si>
    <t>№ 96/10  від 02.10.18</t>
  </si>
  <si>
    <t>Килимові покриття, килимки та килими (килимки гумові)</t>
  </si>
  <si>
    <t>№ 97/10  від 02.10.18</t>
  </si>
  <si>
    <t>Кухонне приладдя, товари для дому та господарства і приладдя для закладів громадського харчування (Ручні візки покупця 125 л, мочалки для тіла)</t>
  </si>
  <si>
    <t>№ 99/10-е  від 27.09.18</t>
  </si>
  <si>
    <t>Телевізійне й аудіовізуальне обладнання (приймачі цифрового ефірного телебачення; антени ефірні)</t>
  </si>
  <si>
    <t>Фізична особа-підприємець Ксьонзенко Петро Якович</t>
  </si>
  <si>
    <t>№ 44/30-е від 04.10.18</t>
  </si>
  <si>
    <t>Фізична особа-підприємець Ботан Віта Віталіївна</t>
  </si>
  <si>
    <t>Продукція тваринництва та супутня продукція (яйця курячі харчові 1с)</t>
  </si>
  <si>
    <t>№ 46/30-т від 12.10.18</t>
  </si>
  <si>
    <t>Фізична особа-підприємець Бован Олександр Іванович</t>
  </si>
  <si>
    <t>Овочі, фрукти та горіхи овочі пізньостиглі)</t>
  </si>
  <si>
    <t>№ 47/30-т від 12.10.18</t>
  </si>
  <si>
    <t>Зернові культури та картопля (картопля пізньостигла)</t>
  </si>
  <si>
    <t>№ 48/30-е від 19.10.18</t>
  </si>
  <si>
    <t>№ 49/30-е від 19.10.18</t>
  </si>
  <si>
    <t>Какао; шоколад та цукрові кондитерські вироби (кондитерські вироби в асортименті)</t>
  </si>
  <si>
    <t>Фізична особа-підприємець Хоменчук Антоніна Володимирівна</t>
  </si>
  <si>
    <t>№ 50/30-е від 19.10.18</t>
  </si>
  <si>
    <t>Сухарі та печиво; пресерви з хлібобулочних і кондитерських виробів) (печиво, пряники, вафлі)</t>
  </si>
  <si>
    <t>№ 100/10  від 04.10.18</t>
  </si>
  <si>
    <t>Замки, ключі та петлі (замки)</t>
  </si>
  <si>
    <t>№ 101/10  від 08.10.18</t>
  </si>
  <si>
    <t>Вироби різні з канату, мотузки, шпагату та сітки (Шпагат капрон д10(100м))</t>
  </si>
  <si>
    <t>Офісне устаткування та приладдя різне (немаоковані конверти)</t>
  </si>
  <si>
    <t>№ 105/1018-1458  від 18.10.18</t>
  </si>
  <si>
    <t>№ 43/30 від 02.10.18</t>
  </si>
  <si>
    <t>Продукти харчування та сушені продукти різні ( дріжджі хлібопекарські сухі)</t>
  </si>
  <si>
    <t>№ 45/30-е від 04.10.18</t>
  </si>
  <si>
    <t>Фізична особа-підприємець Щербина Володимир Олександрович</t>
  </si>
  <si>
    <t>Продукція борошномельно-круп'яної промисловості (борошно пшеничне в/г)</t>
  </si>
  <si>
    <t>№ 7900 від 11.10.18</t>
  </si>
  <si>
    <t>Фізична особа-підприємець  Мороз Євген Олександрович</t>
  </si>
  <si>
    <t>Послуги з ремонту і технічного обслуговування персональних комп’ютерів (Інформаційно-консультативні послуги з супроводження  ПЗ "М.Е.Dос" Звітність)</t>
  </si>
  <si>
    <t>Послуги з обробки даних (Послуги з обробки даних, видачі сертифікатів та їх обслуговування)</t>
  </si>
  <si>
    <t>Товариство з обмеженою відповідальністю  "Центр сертифікації ключів "Україна"</t>
  </si>
  <si>
    <t>№ 03191259 від 11.10.18</t>
  </si>
  <si>
    <t>№ 16/40-2018 від 03.09.18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</si>
  <si>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</si>
  <si>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Товариство з обмеженою відповідальністю "А-ЕНЕРГО"</t>
  </si>
  <si>
    <t>№ 19/40 від 19.10.18</t>
  </si>
  <si>
    <t>Науково-технічні послуги в галузі інженерії (послуги з обовязкового технічного контролю авто)</t>
  </si>
  <si>
    <t>Приватне підприємство "Автохолдинг-2007"</t>
  </si>
  <si>
    <t>№ 3КС-18/047-ПВ від 28.08.18</t>
  </si>
  <si>
    <t>Послуги з ремонту і технічного обслуговування вимірювальних, випробувальних і контрольних приладів ( послуги з організації та проведення повірки обладнання)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</si>
</sst>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Unicode MS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48" fillId="0" borderId="0" xfId="0" applyFont="1" applyAlignment="1">
      <alignment wrapText="1"/>
    </xf>
    <xf numFmtId="9" fontId="1" fillId="0" borderId="10" xfId="57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view="pageBreakPreview" zoomScale="75" zoomScaleNormal="75" zoomScaleSheetLayoutView="75" zoomScalePageLayoutView="0" workbookViewId="0" topLeftCell="A96">
      <selection activeCell="H88" sqref="H88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3.375" style="23" customWidth="1"/>
    <col min="6" max="6" width="13.125" style="10" customWidth="1"/>
    <col min="7" max="7" width="15.625" style="23" customWidth="1"/>
    <col min="8" max="8" width="15.875" style="10" customWidth="1"/>
    <col min="9" max="9" width="13.875" style="23" customWidth="1"/>
    <col min="10" max="10" width="13.75390625" style="10" customWidth="1"/>
    <col min="11" max="16384" width="9.125" style="3" customWidth="1"/>
  </cols>
  <sheetData>
    <row r="1" spans="1:10" ht="18.7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2" t="s">
        <v>576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</row>
    <row r="6" spans="1:11" ht="18.75">
      <c r="A6" s="45" t="s">
        <v>0</v>
      </c>
      <c r="B6" s="45" t="s">
        <v>1</v>
      </c>
      <c r="C6" s="45" t="s">
        <v>22</v>
      </c>
      <c r="D6" s="45" t="s">
        <v>2</v>
      </c>
      <c r="E6" s="51" t="s">
        <v>3</v>
      </c>
      <c r="F6" s="46" t="s">
        <v>4</v>
      </c>
      <c r="G6" s="46"/>
      <c r="H6" s="46"/>
      <c r="I6" s="46"/>
      <c r="J6" s="46"/>
      <c r="K6" s="4"/>
    </row>
    <row r="7" spans="1:11" ht="18.75">
      <c r="A7" s="45"/>
      <c r="B7" s="45"/>
      <c r="C7" s="45"/>
      <c r="D7" s="45"/>
      <c r="E7" s="51"/>
      <c r="F7" s="46" t="s">
        <v>20</v>
      </c>
      <c r="G7" s="46" t="s">
        <v>21</v>
      </c>
      <c r="H7" s="46"/>
      <c r="I7" s="46"/>
      <c r="J7" s="46"/>
      <c r="K7" s="4"/>
    </row>
    <row r="8" spans="1:11" ht="168.75">
      <c r="A8" s="45"/>
      <c r="B8" s="45"/>
      <c r="C8" s="45"/>
      <c r="D8" s="45"/>
      <c r="E8" s="51"/>
      <c r="F8" s="46"/>
      <c r="G8" s="20" t="s">
        <v>5</v>
      </c>
      <c r="H8" s="13" t="s">
        <v>6</v>
      </c>
      <c r="I8" s="20" t="s">
        <v>7</v>
      </c>
      <c r="J8" s="13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20">
        <v>5</v>
      </c>
      <c r="F9" s="17">
        <v>6</v>
      </c>
      <c r="G9" s="27">
        <v>7</v>
      </c>
      <c r="H9" s="27">
        <v>8</v>
      </c>
      <c r="I9" s="27">
        <v>9</v>
      </c>
      <c r="J9" s="17">
        <v>10</v>
      </c>
    </row>
    <row r="10" spans="1:10" ht="18.75">
      <c r="A10" s="44" t="s">
        <v>11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75">
      <c r="A11" s="11" t="s">
        <v>68</v>
      </c>
      <c r="B11" s="11" t="s">
        <v>30</v>
      </c>
      <c r="C11" s="1">
        <v>2401208285</v>
      </c>
      <c r="D11" s="35" t="s">
        <v>28</v>
      </c>
      <c r="E11" s="20">
        <v>4.8</v>
      </c>
      <c r="F11" s="13">
        <f aca="true" t="shared" si="0" ref="F11:F134">SUM(G11:J11)</f>
        <v>4.8</v>
      </c>
      <c r="G11" s="20"/>
      <c r="H11" s="13"/>
      <c r="I11" s="20">
        <v>4.8</v>
      </c>
      <c r="J11" s="13"/>
    </row>
    <row r="12" spans="1:10" ht="63.75" customHeight="1">
      <c r="A12" s="11" t="s">
        <v>69</v>
      </c>
      <c r="B12" s="11" t="s">
        <v>61</v>
      </c>
      <c r="C12" s="1">
        <v>2352207468</v>
      </c>
      <c r="D12" s="26" t="s">
        <v>62</v>
      </c>
      <c r="E12" s="20">
        <v>6</v>
      </c>
      <c r="F12" s="13">
        <f t="shared" si="0"/>
        <v>6</v>
      </c>
      <c r="G12" s="20">
        <v>6</v>
      </c>
      <c r="H12" s="13"/>
      <c r="I12" s="20"/>
      <c r="J12" s="13"/>
    </row>
    <row r="13" spans="1:10" ht="93.75">
      <c r="A13" s="11" t="s">
        <v>70</v>
      </c>
      <c r="B13" s="11" t="s">
        <v>27</v>
      </c>
      <c r="C13" s="1">
        <v>2820908254</v>
      </c>
      <c r="D13" s="5" t="s">
        <v>25</v>
      </c>
      <c r="E13" s="20">
        <f>5.9976+2.95644+2.32488+2.19258+1.60524+1.94082</f>
        <v>17.01756</v>
      </c>
      <c r="F13" s="13">
        <f>SUM(G13:J13)</f>
        <v>17.03058</v>
      </c>
      <c r="G13" s="20">
        <f>3.04116+5.9259+2.32488+2.19258+1.60524+1.94082</f>
        <v>17.03058</v>
      </c>
      <c r="H13" s="13"/>
      <c r="I13" s="20"/>
      <c r="J13" s="13"/>
    </row>
    <row r="14" spans="1:10" ht="93.75">
      <c r="A14" s="11" t="s">
        <v>71</v>
      </c>
      <c r="B14" s="11" t="s">
        <v>26</v>
      </c>
      <c r="C14" s="1">
        <v>2587702593</v>
      </c>
      <c r="D14" s="5" t="s">
        <v>72</v>
      </c>
      <c r="E14" s="20">
        <v>5.376</v>
      </c>
      <c r="F14" s="13">
        <f t="shared" si="0"/>
        <v>5.376</v>
      </c>
      <c r="G14" s="20"/>
      <c r="H14" s="13"/>
      <c r="I14" s="20">
        <v>5.376</v>
      </c>
      <c r="J14" s="13"/>
    </row>
    <row r="15" spans="1:10" ht="75">
      <c r="A15" s="11" t="s">
        <v>73</v>
      </c>
      <c r="B15" s="11" t="s">
        <v>44</v>
      </c>
      <c r="C15" s="1">
        <v>2910606505</v>
      </c>
      <c r="D15" s="5" t="s">
        <v>74</v>
      </c>
      <c r="E15" s="20">
        <f>0.567+0.9825+2.003+1.54</f>
        <v>5.0925</v>
      </c>
      <c r="F15" s="13">
        <f t="shared" si="0"/>
        <v>5.0925</v>
      </c>
      <c r="G15" s="20"/>
      <c r="H15" s="13"/>
      <c r="I15" s="20">
        <f>0.459+0.108+0.9825+2.003+1.54</f>
        <v>5.0925</v>
      </c>
      <c r="J15" s="13"/>
    </row>
    <row r="16" spans="1:10" ht="75">
      <c r="A16" s="11" t="s">
        <v>75</v>
      </c>
      <c r="B16" s="11" t="s">
        <v>44</v>
      </c>
      <c r="C16" s="1">
        <v>2910606505</v>
      </c>
      <c r="D16" s="5" t="s">
        <v>76</v>
      </c>
      <c r="E16" s="20">
        <v>0.50625</v>
      </c>
      <c r="F16" s="13">
        <f t="shared" si="0"/>
        <v>0.50625</v>
      </c>
      <c r="G16" s="20"/>
      <c r="H16" s="13"/>
      <c r="I16" s="20">
        <v>0.50625</v>
      </c>
      <c r="J16" s="13"/>
    </row>
    <row r="17" spans="1:10" ht="84" customHeight="1">
      <c r="A17" s="11" t="s">
        <v>77</v>
      </c>
      <c r="B17" s="11" t="s">
        <v>44</v>
      </c>
      <c r="C17" s="1">
        <v>2910606505</v>
      </c>
      <c r="D17" s="5" t="s">
        <v>78</v>
      </c>
      <c r="E17" s="20">
        <v>1.5735</v>
      </c>
      <c r="F17" s="13">
        <f t="shared" si="0"/>
        <v>1.5735</v>
      </c>
      <c r="G17" s="20">
        <v>0.187</v>
      </c>
      <c r="H17" s="13"/>
      <c r="I17" s="20">
        <f>0.53+0.071+0.7855</f>
        <v>1.3864999999999998</v>
      </c>
      <c r="J17" s="13"/>
    </row>
    <row r="18" spans="1:10" ht="151.5" customHeight="1">
      <c r="A18" s="11" t="s">
        <v>79</v>
      </c>
      <c r="B18" s="11" t="s">
        <v>44</v>
      </c>
      <c r="C18" s="1">
        <v>2910606505</v>
      </c>
      <c r="D18" s="5" t="s">
        <v>80</v>
      </c>
      <c r="E18" s="20">
        <f>0.1945+1.12425+0.7</f>
        <v>2.01875</v>
      </c>
      <c r="F18" s="13">
        <f t="shared" si="0"/>
        <v>2.01875</v>
      </c>
      <c r="G18" s="20"/>
      <c r="H18" s="13"/>
      <c r="I18" s="20">
        <f>0.1945+1.12425+0.7</f>
        <v>2.01875</v>
      </c>
      <c r="J18" s="13"/>
    </row>
    <row r="19" spans="1:10" ht="75">
      <c r="A19" s="11" t="s">
        <v>81</v>
      </c>
      <c r="B19" s="11" t="s">
        <v>44</v>
      </c>
      <c r="C19" s="1">
        <v>2910606505</v>
      </c>
      <c r="D19" s="5" t="s">
        <v>82</v>
      </c>
      <c r="E19" s="20">
        <v>0.05</v>
      </c>
      <c r="F19" s="13">
        <f t="shared" si="0"/>
        <v>0.05</v>
      </c>
      <c r="G19" s="20"/>
      <c r="H19" s="13"/>
      <c r="I19" s="20">
        <v>0.05</v>
      </c>
      <c r="J19" s="13"/>
    </row>
    <row r="20" spans="1:10" ht="56.25">
      <c r="A20" s="11" t="s">
        <v>83</v>
      </c>
      <c r="B20" s="11" t="s">
        <v>27</v>
      </c>
      <c r="C20" s="1">
        <v>2820908254</v>
      </c>
      <c r="D20" s="5" t="s">
        <v>65</v>
      </c>
      <c r="E20" s="20">
        <f>5.13+3.4014</f>
        <v>8.5314</v>
      </c>
      <c r="F20" s="13">
        <f t="shared" si="0"/>
        <v>8.5314</v>
      </c>
      <c r="G20" s="20">
        <f>5.13+3.4014</f>
        <v>8.5314</v>
      </c>
      <c r="H20" s="13"/>
      <c r="I20" s="20"/>
      <c r="J20" s="13"/>
    </row>
    <row r="21" spans="1:10" ht="75">
      <c r="A21" s="11" t="s">
        <v>84</v>
      </c>
      <c r="B21" s="11" t="s">
        <v>27</v>
      </c>
      <c r="C21" s="1">
        <v>2820908254</v>
      </c>
      <c r="D21" s="5" t="s">
        <v>85</v>
      </c>
      <c r="E21" s="20">
        <f>2.5842+2.35872+4.56954</f>
        <v>9.51246</v>
      </c>
      <c r="F21" s="13">
        <f t="shared" si="0"/>
        <v>9.51246</v>
      </c>
      <c r="G21" s="20">
        <f>2.5842+2.35872+4.56954</f>
        <v>9.51246</v>
      </c>
      <c r="H21" s="13"/>
      <c r="I21" s="20"/>
      <c r="J21" s="13"/>
    </row>
    <row r="22" spans="1:10" ht="75">
      <c r="A22" s="11" t="s">
        <v>86</v>
      </c>
      <c r="B22" s="11" t="s">
        <v>87</v>
      </c>
      <c r="C22" s="1">
        <v>3208810176</v>
      </c>
      <c r="D22" s="5" t="s">
        <v>88</v>
      </c>
      <c r="E22" s="20">
        <v>8.243</v>
      </c>
      <c r="F22" s="13">
        <f t="shared" si="0"/>
        <v>8.243</v>
      </c>
      <c r="G22" s="20">
        <v>2.725</v>
      </c>
      <c r="H22" s="13"/>
      <c r="I22" s="20">
        <v>5.518</v>
      </c>
      <c r="J22" s="13"/>
    </row>
    <row r="23" spans="1:10" ht="75">
      <c r="A23" s="11" t="s">
        <v>155</v>
      </c>
      <c r="B23" s="11" t="s">
        <v>44</v>
      </c>
      <c r="C23" s="1">
        <v>2910606505</v>
      </c>
      <c r="D23" s="5" t="s">
        <v>156</v>
      </c>
      <c r="E23" s="20">
        <f>0.672+4.914</f>
        <v>5.585999999999999</v>
      </c>
      <c r="F23" s="13">
        <f t="shared" si="0"/>
        <v>5.585999999999999</v>
      </c>
      <c r="G23" s="20"/>
      <c r="H23" s="13"/>
      <c r="I23" s="20">
        <f>0.672+4.914</f>
        <v>5.585999999999999</v>
      </c>
      <c r="J23" s="13"/>
    </row>
    <row r="24" spans="1:10" ht="75">
      <c r="A24" s="11" t="s">
        <v>125</v>
      </c>
      <c r="B24" s="11" t="s">
        <v>44</v>
      </c>
      <c r="C24" s="1">
        <v>2910606505</v>
      </c>
      <c r="D24" s="5" t="s">
        <v>126</v>
      </c>
      <c r="E24" s="20">
        <v>4.95</v>
      </c>
      <c r="F24" s="13">
        <f t="shared" si="0"/>
        <v>4.95</v>
      </c>
      <c r="G24" s="20">
        <v>4.95</v>
      </c>
      <c r="H24" s="13"/>
      <c r="I24" s="20"/>
      <c r="J24" s="13"/>
    </row>
    <row r="25" spans="1:10" ht="75">
      <c r="A25" s="11" t="s">
        <v>127</v>
      </c>
      <c r="B25" s="11" t="s">
        <v>44</v>
      </c>
      <c r="C25" s="1">
        <v>2910606505</v>
      </c>
      <c r="D25" s="5" t="s">
        <v>128</v>
      </c>
      <c r="E25" s="20">
        <v>0.63</v>
      </c>
      <c r="F25" s="13">
        <f t="shared" si="0"/>
        <v>0.63</v>
      </c>
      <c r="G25" s="20">
        <v>0.63</v>
      </c>
      <c r="H25" s="13"/>
      <c r="I25" s="20"/>
      <c r="J25" s="13"/>
    </row>
    <row r="26" spans="1:10" ht="75">
      <c r="A26" s="11" t="s">
        <v>157</v>
      </c>
      <c r="B26" s="11" t="s">
        <v>44</v>
      </c>
      <c r="C26" s="1">
        <v>2910606505</v>
      </c>
      <c r="D26" s="5" t="s">
        <v>158</v>
      </c>
      <c r="E26" s="20">
        <f>0.072+0.098</f>
        <v>0.16999999999999998</v>
      </c>
      <c r="F26" s="13">
        <f t="shared" si="0"/>
        <v>0.16999999999999998</v>
      </c>
      <c r="G26" s="20"/>
      <c r="H26" s="13"/>
      <c r="I26" s="20">
        <f>0.072+0.098</f>
        <v>0.16999999999999998</v>
      </c>
      <c r="J26" s="13"/>
    </row>
    <row r="27" spans="1:10" ht="75">
      <c r="A27" s="11" t="s">
        <v>159</v>
      </c>
      <c r="B27" s="11" t="s">
        <v>44</v>
      </c>
      <c r="C27" s="1">
        <v>2910606505</v>
      </c>
      <c r="D27" s="5" t="s">
        <v>160</v>
      </c>
      <c r="E27" s="20">
        <f>0.2395+0.08</f>
        <v>0.3195</v>
      </c>
      <c r="F27" s="13">
        <f t="shared" si="0"/>
        <v>0.3195</v>
      </c>
      <c r="G27" s="20">
        <v>0.08</v>
      </c>
      <c r="H27" s="13"/>
      <c r="I27" s="20">
        <v>0.2395</v>
      </c>
      <c r="J27" s="13"/>
    </row>
    <row r="28" spans="1:10" ht="93.75" customHeight="1">
      <c r="A28" s="11" t="s">
        <v>161</v>
      </c>
      <c r="B28" s="11" t="s">
        <v>44</v>
      </c>
      <c r="C28" s="1">
        <v>2910606505</v>
      </c>
      <c r="D28" s="5" t="s">
        <v>162</v>
      </c>
      <c r="E28" s="20">
        <v>0.675</v>
      </c>
      <c r="F28" s="13">
        <f t="shared" si="0"/>
        <v>0.675</v>
      </c>
      <c r="G28" s="20"/>
      <c r="H28" s="13"/>
      <c r="I28" s="20">
        <v>0.675</v>
      </c>
      <c r="J28" s="13"/>
    </row>
    <row r="29" spans="1:10" ht="99.75" customHeight="1">
      <c r="A29" s="11" t="s">
        <v>130</v>
      </c>
      <c r="B29" s="11" t="s">
        <v>129</v>
      </c>
      <c r="C29" s="1">
        <v>36248687</v>
      </c>
      <c r="D29" s="5" t="s">
        <v>131</v>
      </c>
      <c r="E29" s="20">
        <v>51.276</v>
      </c>
      <c r="F29" s="13">
        <f t="shared" si="0"/>
        <v>51.276</v>
      </c>
      <c r="G29" s="20">
        <v>51.276</v>
      </c>
      <c r="H29" s="13"/>
      <c r="I29" s="20"/>
      <c r="J29" s="13"/>
    </row>
    <row r="30" spans="1:10" ht="61.5" customHeight="1">
      <c r="A30" s="11" t="s">
        <v>133</v>
      </c>
      <c r="B30" s="11" t="s">
        <v>129</v>
      </c>
      <c r="C30" s="1">
        <v>36248687</v>
      </c>
      <c r="D30" s="5" t="s">
        <v>132</v>
      </c>
      <c r="E30" s="20">
        <v>26</v>
      </c>
      <c r="F30" s="13">
        <f t="shared" si="0"/>
        <v>26</v>
      </c>
      <c r="G30" s="20">
        <v>26</v>
      </c>
      <c r="H30" s="13"/>
      <c r="I30" s="20"/>
      <c r="J30" s="13"/>
    </row>
    <row r="31" spans="1:10" ht="137.25" customHeight="1">
      <c r="A31" s="11" t="s">
        <v>163</v>
      </c>
      <c r="B31" s="11" t="s">
        <v>164</v>
      </c>
      <c r="C31" s="1">
        <v>24998380</v>
      </c>
      <c r="D31" s="5" t="s">
        <v>165</v>
      </c>
      <c r="E31" s="20">
        <v>5.28</v>
      </c>
      <c r="F31" s="13">
        <f t="shared" si="0"/>
        <v>5.28</v>
      </c>
      <c r="G31" s="20"/>
      <c r="H31" s="13"/>
      <c r="I31" s="20">
        <v>5.28</v>
      </c>
      <c r="J31" s="13"/>
    </row>
    <row r="32" spans="1:10" ht="69.75" customHeight="1">
      <c r="A32" s="11" t="s">
        <v>152</v>
      </c>
      <c r="B32" s="11" t="s">
        <v>150</v>
      </c>
      <c r="C32" s="1">
        <v>3071710298</v>
      </c>
      <c r="D32" s="5" t="s">
        <v>151</v>
      </c>
      <c r="E32" s="20">
        <f>29.64+11</f>
        <v>40.64</v>
      </c>
      <c r="F32" s="13">
        <f t="shared" si="0"/>
        <v>40.64</v>
      </c>
      <c r="G32" s="20">
        <v>11</v>
      </c>
      <c r="H32" s="13">
        <v>29.64</v>
      </c>
      <c r="I32" s="20"/>
      <c r="J32" s="13"/>
    </row>
    <row r="33" spans="1:10" ht="81.75" customHeight="1">
      <c r="A33" s="11" t="s">
        <v>136</v>
      </c>
      <c r="B33" s="11" t="s">
        <v>135</v>
      </c>
      <c r="C33" s="1">
        <v>2251605227</v>
      </c>
      <c r="D33" s="5" t="s">
        <v>134</v>
      </c>
      <c r="E33" s="20">
        <v>1.603</v>
      </c>
      <c r="F33" s="13">
        <f t="shared" si="0"/>
        <v>1.603</v>
      </c>
      <c r="G33" s="20">
        <v>1.603</v>
      </c>
      <c r="H33" s="13"/>
      <c r="I33" s="20"/>
      <c r="J33" s="13"/>
    </row>
    <row r="34" spans="1:10" ht="76.5" customHeight="1">
      <c r="A34" s="11" t="s">
        <v>153</v>
      </c>
      <c r="B34" s="11" t="s">
        <v>135</v>
      </c>
      <c r="C34" s="1">
        <v>2251605227</v>
      </c>
      <c r="D34" s="5" t="s">
        <v>154</v>
      </c>
      <c r="E34" s="20">
        <v>0.295</v>
      </c>
      <c r="F34" s="13">
        <f t="shared" si="0"/>
        <v>0.295</v>
      </c>
      <c r="G34" s="20"/>
      <c r="H34" s="13">
        <v>0.295</v>
      </c>
      <c r="I34" s="20"/>
      <c r="J34" s="13"/>
    </row>
    <row r="35" spans="1:10" ht="81.75" customHeight="1">
      <c r="A35" s="11" t="s">
        <v>137</v>
      </c>
      <c r="B35" s="11" t="s">
        <v>135</v>
      </c>
      <c r="C35" s="1">
        <v>2251605227</v>
      </c>
      <c r="D35" s="5" t="s">
        <v>138</v>
      </c>
      <c r="E35" s="20">
        <v>1.4</v>
      </c>
      <c r="F35" s="13">
        <f t="shared" si="0"/>
        <v>1.4</v>
      </c>
      <c r="G35" s="20">
        <v>1.4</v>
      </c>
      <c r="H35" s="13"/>
      <c r="I35" s="20"/>
      <c r="J35" s="13"/>
    </row>
    <row r="36" spans="1:10" ht="81.75" customHeight="1">
      <c r="A36" s="11" t="s">
        <v>139</v>
      </c>
      <c r="B36" s="11" t="s">
        <v>140</v>
      </c>
      <c r="C36" s="1">
        <v>13625993</v>
      </c>
      <c r="D36" s="5" t="s">
        <v>141</v>
      </c>
      <c r="E36" s="20">
        <v>5.88535</v>
      </c>
      <c r="F36" s="13">
        <f t="shared" si="0"/>
        <v>5.88535</v>
      </c>
      <c r="G36" s="20">
        <v>5.88535</v>
      </c>
      <c r="H36" s="13"/>
      <c r="I36" s="20"/>
      <c r="J36" s="13"/>
    </row>
    <row r="37" spans="1:10" ht="96.75" customHeight="1">
      <c r="A37" s="11" t="s">
        <v>142</v>
      </c>
      <c r="B37" s="11" t="s">
        <v>143</v>
      </c>
      <c r="C37" s="1">
        <v>36790327</v>
      </c>
      <c r="D37" s="5" t="s">
        <v>144</v>
      </c>
      <c r="E37" s="20">
        <v>9.6792</v>
      </c>
      <c r="F37" s="13">
        <f t="shared" si="0"/>
        <v>9.6792</v>
      </c>
      <c r="G37" s="20">
        <v>0.2616</v>
      </c>
      <c r="H37" s="13"/>
      <c r="I37" s="20">
        <v>9.4176</v>
      </c>
      <c r="J37" s="13"/>
    </row>
    <row r="38" spans="1:10" ht="66.75" customHeight="1">
      <c r="A38" s="11" t="s">
        <v>166</v>
      </c>
      <c r="B38" s="11" t="s">
        <v>167</v>
      </c>
      <c r="C38" s="1">
        <v>32297434</v>
      </c>
      <c r="D38" s="5" t="s">
        <v>168</v>
      </c>
      <c r="E38" s="20">
        <f>18.18198+4.6318</f>
        <v>22.81378</v>
      </c>
      <c r="F38" s="13">
        <f t="shared" si="0"/>
        <v>22.81378</v>
      </c>
      <c r="G38" s="20"/>
      <c r="H38" s="13"/>
      <c r="I38" s="20">
        <f>18.18198+4.6318</f>
        <v>22.81378</v>
      </c>
      <c r="J38" s="13"/>
    </row>
    <row r="39" spans="1:10" ht="78.75" customHeight="1">
      <c r="A39" s="11" t="s">
        <v>145</v>
      </c>
      <c r="B39" s="11" t="s">
        <v>146</v>
      </c>
      <c r="C39" s="1">
        <v>37167117</v>
      </c>
      <c r="D39" s="5" t="s">
        <v>147</v>
      </c>
      <c r="E39" s="20">
        <v>51.609</v>
      </c>
      <c r="F39" s="13">
        <f t="shared" si="0"/>
        <v>51.609</v>
      </c>
      <c r="G39" s="20">
        <v>2.484</v>
      </c>
      <c r="H39" s="13"/>
      <c r="I39" s="20">
        <v>49.125</v>
      </c>
      <c r="J39" s="13"/>
    </row>
    <row r="40" spans="1:10" ht="66" customHeight="1">
      <c r="A40" s="11" t="s">
        <v>220</v>
      </c>
      <c r="B40" s="11" t="s">
        <v>221</v>
      </c>
      <c r="C40" s="31">
        <v>2292705188</v>
      </c>
      <c r="D40" s="5" t="s">
        <v>222</v>
      </c>
      <c r="E40" s="20">
        <f>7.17+2.765+1.35</f>
        <v>11.285</v>
      </c>
      <c r="F40" s="13">
        <f t="shared" si="0"/>
        <v>11.285</v>
      </c>
      <c r="G40" s="20">
        <f>7.17+2.765+1.35</f>
        <v>11.285</v>
      </c>
      <c r="H40" s="13"/>
      <c r="I40" s="20"/>
      <c r="J40" s="13"/>
    </row>
    <row r="41" spans="1:10" ht="109.5" customHeight="1">
      <c r="A41" s="11" t="s">
        <v>223</v>
      </c>
      <c r="B41" s="11" t="s">
        <v>135</v>
      </c>
      <c r="C41" s="1">
        <v>2251605227</v>
      </c>
      <c r="D41" s="5" t="s">
        <v>225</v>
      </c>
      <c r="E41" s="20">
        <v>1.92</v>
      </c>
      <c r="F41" s="13">
        <f t="shared" si="0"/>
        <v>1.38</v>
      </c>
      <c r="G41" s="20">
        <v>1.38</v>
      </c>
      <c r="H41" s="13"/>
      <c r="I41" s="20"/>
      <c r="J41" s="13"/>
    </row>
    <row r="42" spans="1:10" ht="76.5" customHeight="1">
      <c r="A42" s="11" t="s">
        <v>224</v>
      </c>
      <c r="B42" s="11" t="s">
        <v>135</v>
      </c>
      <c r="C42" s="1">
        <v>2251605227</v>
      </c>
      <c r="D42" s="5" t="s">
        <v>226</v>
      </c>
      <c r="E42" s="20">
        <v>0.134</v>
      </c>
      <c r="F42" s="13">
        <f t="shared" si="0"/>
        <v>0.134</v>
      </c>
      <c r="G42" s="20">
        <v>0.134</v>
      </c>
      <c r="H42" s="13"/>
      <c r="I42" s="20"/>
      <c r="J42" s="13"/>
    </row>
    <row r="43" spans="1:10" ht="81" customHeight="1">
      <c r="A43" s="11" t="s">
        <v>169</v>
      </c>
      <c r="B43" s="11" t="s">
        <v>170</v>
      </c>
      <c r="C43" s="1">
        <v>37878035</v>
      </c>
      <c r="D43" s="5" t="s">
        <v>171</v>
      </c>
      <c r="E43" s="20">
        <v>80.25</v>
      </c>
      <c r="F43" s="13">
        <f t="shared" si="0"/>
        <v>80.25</v>
      </c>
      <c r="G43" s="20"/>
      <c r="H43" s="13"/>
      <c r="I43" s="20">
        <v>80.25</v>
      </c>
      <c r="J43" s="13"/>
    </row>
    <row r="44" spans="1:10" ht="56.25" customHeight="1">
      <c r="A44" s="11" t="s">
        <v>227</v>
      </c>
      <c r="B44" s="5" t="s">
        <v>228</v>
      </c>
      <c r="C44" s="5">
        <v>13618977</v>
      </c>
      <c r="D44" s="5" t="s">
        <v>229</v>
      </c>
      <c r="E44" s="20">
        <v>1.7527</v>
      </c>
      <c r="F44" s="13">
        <f t="shared" si="0"/>
        <v>1.7527</v>
      </c>
      <c r="G44" s="20">
        <v>1.7527</v>
      </c>
      <c r="H44" s="13"/>
      <c r="I44" s="20"/>
      <c r="J44" s="13"/>
    </row>
    <row r="45" spans="1:10" ht="112.5" customHeight="1">
      <c r="A45" s="11" t="s">
        <v>230</v>
      </c>
      <c r="B45" s="5" t="s">
        <v>232</v>
      </c>
      <c r="C45" s="5">
        <v>40257391</v>
      </c>
      <c r="D45" s="5" t="s">
        <v>231</v>
      </c>
      <c r="E45" s="20">
        <v>2.68</v>
      </c>
      <c r="F45" s="13">
        <f t="shared" si="0"/>
        <v>2.68</v>
      </c>
      <c r="G45" s="20">
        <v>2.68</v>
      </c>
      <c r="H45" s="13"/>
      <c r="I45" s="20"/>
      <c r="J45" s="13"/>
    </row>
    <row r="46" spans="1:10" ht="84" customHeight="1">
      <c r="A46" s="11" t="s">
        <v>148</v>
      </c>
      <c r="B46" s="11" t="s">
        <v>146</v>
      </c>
      <c r="C46" s="1">
        <v>37167117</v>
      </c>
      <c r="D46" s="5" t="s">
        <v>149</v>
      </c>
      <c r="E46" s="30">
        <v>107.79798</v>
      </c>
      <c r="F46" s="13">
        <f t="shared" si="0"/>
        <v>107.79798</v>
      </c>
      <c r="G46" s="20">
        <v>1.128</v>
      </c>
      <c r="H46" s="13"/>
      <c r="I46" s="20">
        <v>106.66998</v>
      </c>
      <c r="J46" s="13"/>
    </row>
    <row r="47" spans="1:10" ht="96.75" customHeight="1">
      <c r="A47" s="11" t="s">
        <v>403</v>
      </c>
      <c r="B47" s="11" t="s">
        <v>405</v>
      </c>
      <c r="C47" s="1">
        <v>37267771</v>
      </c>
      <c r="D47" s="5" t="s">
        <v>404</v>
      </c>
      <c r="E47" s="30">
        <v>15.792</v>
      </c>
      <c r="F47" s="13">
        <f t="shared" si="0"/>
        <v>15.792</v>
      </c>
      <c r="G47" s="20"/>
      <c r="H47" s="13"/>
      <c r="I47" s="20">
        <v>15.792</v>
      </c>
      <c r="J47" s="13"/>
    </row>
    <row r="48" spans="1:10" ht="77.25" customHeight="1">
      <c r="A48" s="11" t="s">
        <v>233</v>
      </c>
      <c r="B48" s="5" t="s">
        <v>234</v>
      </c>
      <c r="C48" s="32">
        <v>2819313730</v>
      </c>
      <c r="D48" s="5" t="s">
        <v>235</v>
      </c>
      <c r="E48" s="30">
        <v>8.137</v>
      </c>
      <c r="F48" s="13">
        <f t="shared" si="0"/>
        <v>8.137</v>
      </c>
      <c r="G48" s="20">
        <v>8.137</v>
      </c>
      <c r="H48" s="13"/>
      <c r="I48" s="20"/>
      <c r="J48" s="13"/>
    </row>
    <row r="49" spans="1:10" ht="78.75" customHeight="1">
      <c r="A49" s="11" t="s">
        <v>236</v>
      </c>
      <c r="B49" s="11" t="s">
        <v>44</v>
      </c>
      <c r="C49" s="1">
        <v>2910606505</v>
      </c>
      <c r="D49" s="5" t="s">
        <v>237</v>
      </c>
      <c r="E49" s="30">
        <v>2.3</v>
      </c>
      <c r="F49" s="13">
        <f t="shared" si="0"/>
        <v>2.3</v>
      </c>
      <c r="G49" s="20">
        <v>2.3</v>
      </c>
      <c r="H49" s="13"/>
      <c r="I49" s="20"/>
      <c r="J49" s="13"/>
    </row>
    <row r="50" spans="1:10" ht="84.75" customHeight="1">
      <c r="A50" s="11" t="s">
        <v>238</v>
      </c>
      <c r="B50" s="11" t="s">
        <v>44</v>
      </c>
      <c r="C50" s="1">
        <v>2910606505</v>
      </c>
      <c r="D50" s="5" t="s">
        <v>239</v>
      </c>
      <c r="E50" s="30">
        <v>0.195</v>
      </c>
      <c r="F50" s="13">
        <f t="shared" si="0"/>
        <v>0.195</v>
      </c>
      <c r="G50" s="20"/>
      <c r="H50" s="13"/>
      <c r="I50" s="20">
        <v>0.195</v>
      </c>
      <c r="J50" s="13"/>
    </row>
    <row r="51" spans="1:10" ht="79.5" customHeight="1">
      <c r="A51" s="11" t="s">
        <v>272</v>
      </c>
      <c r="B51" s="11" t="s">
        <v>44</v>
      </c>
      <c r="C51" s="1">
        <v>2910606505</v>
      </c>
      <c r="D51" s="5" t="s">
        <v>273</v>
      </c>
      <c r="E51" s="30">
        <v>2.595</v>
      </c>
      <c r="F51" s="13">
        <f>SUM(G51:J51)</f>
        <v>2.595</v>
      </c>
      <c r="G51" s="20">
        <v>2.595</v>
      </c>
      <c r="H51" s="13"/>
      <c r="I51" s="20"/>
      <c r="J51" s="13"/>
    </row>
    <row r="52" spans="1:10" ht="78.75" customHeight="1">
      <c r="A52" s="11" t="s">
        <v>274</v>
      </c>
      <c r="B52" s="11" t="s">
        <v>276</v>
      </c>
      <c r="C52" s="1">
        <v>2776105114</v>
      </c>
      <c r="D52" s="5" t="s">
        <v>275</v>
      </c>
      <c r="E52" s="30">
        <v>24.5</v>
      </c>
      <c r="F52" s="13">
        <f>SUM(G52:J52)</f>
        <v>24.5</v>
      </c>
      <c r="G52" s="20"/>
      <c r="H52" s="13"/>
      <c r="I52" s="20">
        <v>24.5</v>
      </c>
      <c r="J52" s="13"/>
    </row>
    <row r="53" spans="1:10" ht="96.75" customHeight="1">
      <c r="A53" s="11" t="s">
        <v>240</v>
      </c>
      <c r="B53" s="11" t="s">
        <v>27</v>
      </c>
      <c r="C53" s="1">
        <v>2820908254</v>
      </c>
      <c r="D53" s="5" t="s">
        <v>242</v>
      </c>
      <c r="E53" s="30">
        <v>2.57304</v>
      </c>
      <c r="F53" s="13">
        <f t="shared" si="0"/>
        <v>2.57304</v>
      </c>
      <c r="G53" s="20">
        <v>2.57304</v>
      </c>
      <c r="H53" s="13"/>
      <c r="I53" s="20"/>
      <c r="J53" s="13"/>
    </row>
    <row r="54" spans="1:10" ht="96.75" customHeight="1">
      <c r="A54" s="11" t="s">
        <v>241</v>
      </c>
      <c r="B54" s="11" t="s">
        <v>27</v>
      </c>
      <c r="C54" s="1">
        <v>2820908254</v>
      </c>
      <c r="D54" s="5" t="s">
        <v>243</v>
      </c>
      <c r="E54" s="30">
        <f>0.91596+2.331</f>
        <v>3.24696</v>
      </c>
      <c r="F54" s="13">
        <f t="shared" si="0"/>
        <v>3.24696</v>
      </c>
      <c r="G54" s="20">
        <f>0.91596+2.331</f>
        <v>3.24696</v>
      </c>
      <c r="H54" s="13"/>
      <c r="I54" s="20"/>
      <c r="J54" s="13"/>
    </row>
    <row r="55" spans="1:10" ht="66" customHeight="1">
      <c r="A55" s="11" t="s">
        <v>341</v>
      </c>
      <c r="B55" s="11" t="s">
        <v>343</v>
      </c>
      <c r="C55" s="1">
        <v>2236022736</v>
      </c>
      <c r="D55" s="3" t="s">
        <v>342</v>
      </c>
      <c r="E55" s="30">
        <v>28.392</v>
      </c>
      <c r="F55" s="13">
        <f t="shared" si="0"/>
        <v>28.392</v>
      </c>
      <c r="G55" s="20"/>
      <c r="H55" s="13"/>
      <c r="I55" s="20">
        <v>28.392</v>
      </c>
      <c r="J55" s="13"/>
    </row>
    <row r="56" spans="1:10" ht="77.25" customHeight="1">
      <c r="A56" s="11" t="s">
        <v>244</v>
      </c>
      <c r="B56" s="11" t="s">
        <v>44</v>
      </c>
      <c r="C56" s="1">
        <v>2910606505</v>
      </c>
      <c r="D56" s="5" t="s">
        <v>246</v>
      </c>
      <c r="E56" s="30">
        <f>2.029+0.55</f>
        <v>2.5789999999999997</v>
      </c>
      <c r="F56" s="13">
        <f t="shared" si="0"/>
        <v>2.5789999999999997</v>
      </c>
      <c r="G56" s="20">
        <v>2.029</v>
      </c>
      <c r="H56" s="13"/>
      <c r="I56" s="20">
        <v>0.55</v>
      </c>
      <c r="J56" s="13"/>
    </row>
    <row r="57" spans="1:10" ht="73.5" customHeight="1">
      <c r="A57" s="11" t="s">
        <v>245</v>
      </c>
      <c r="B57" s="11" t="s">
        <v>44</v>
      </c>
      <c r="C57" s="1">
        <v>2910606505</v>
      </c>
      <c r="D57" s="5" t="s">
        <v>247</v>
      </c>
      <c r="E57" s="30">
        <f>0.8125+0.1425</f>
        <v>0.955</v>
      </c>
      <c r="F57" s="13">
        <f t="shared" si="0"/>
        <v>0.955</v>
      </c>
      <c r="G57" s="20">
        <f>0.8125+0.1425</f>
        <v>0.955</v>
      </c>
      <c r="H57" s="13"/>
      <c r="I57" s="20"/>
      <c r="J57" s="13"/>
    </row>
    <row r="58" spans="1:10" ht="78.75" customHeight="1">
      <c r="A58" s="11" t="s">
        <v>277</v>
      </c>
      <c r="B58" s="11" t="s">
        <v>278</v>
      </c>
      <c r="C58" s="1">
        <v>38408595</v>
      </c>
      <c r="D58" s="5" t="s">
        <v>279</v>
      </c>
      <c r="E58" s="30">
        <v>4.0874</v>
      </c>
      <c r="F58" s="13">
        <f t="shared" si="0"/>
        <v>4.0874</v>
      </c>
      <c r="G58" s="20"/>
      <c r="H58" s="13"/>
      <c r="I58" s="20">
        <v>4.0874</v>
      </c>
      <c r="J58" s="13"/>
    </row>
    <row r="59" spans="1:10" ht="96.75" customHeight="1">
      <c r="A59" s="11" t="s">
        <v>308</v>
      </c>
      <c r="B59" s="11" t="s">
        <v>129</v>
      </c>
      <c r="C59" s="1">
        <v>36248687</v>
      </c>
      <c r="D59" s="5" t="s">
        <v>131</v>
      </c>
      <c r="E59" s="30">
        <v>54.48</v>
      </c>
      <c r="F59" s="13">
        <f t="shared" si="0"/>
        <v>54.48</v>
      </c>
      <c r="G59" s="20">
        <v>54.48</v>
      </c>
      <c r="H59" s="13"/>
      <c r="I59" s="20"/>
      <c r="J59" s="13"/>
    </row>
    <row r="60" spans="1:10" ht="58.5" customHeight="1">
      <c r="A60" s="11" t="s">
        <v>309</v>
      </c>
      <c r="B60" s="11" t="s">
        <v>129</v>
      </c>
      <c r="C60" s="1">
        <v>36248687</v>
      </c>
      <c r="D60" s="5" t="s">
        <v>132</v>
      </c>
      <c r="E60" s="30">
        <v>24.98</v>
      </c>
      <c r="F60" s="13">
        <f t="shared" si="0"/>
        <v>24.98</v>
      </c>
      <c r="G60" s="20">
        <v>24.98</v>
      </c>
      <c r="H60" s="13"/>
      <c r="I60" s="20"/>
      <c r="J60" s="13"/>
    </row>
    <row r="61" spans="1:10" ht="79.5" customHeight="1">
      <c r="A61" s="11" t="s">
        <v>280</v>
      </c>
      <c r="B61" s="11" t="s">
        <v>282</v>
      </c>
      <c r="C61" s="1">
        <v>14352406</v>
      </c>
      <c r="D61" s="5" t="s">
        <v>281</v>
      </c>
      <c r="E61" s="30">
        <v>32.64</v>
      </c>
      <c r="F61" s="13">
        <f t="shared" si="0"/>
        <v>32.64</v>
      </c>
      <c r="G61" s="20"/>
      <c r="H61" s="13"/>
      <c r="I61" s="20">
        <v>32.64</v>
      </c>
      <c r="J61" s="13"/>
    </row>
    <row r="62" spans="1:10" ht="91.5" customHeight="1">
      <c r="A62" s="11" t="s">
        <v>344</v>
      </c>
      <c r="B62" s="11" t="s">
        <v>346</v>
      </c>
      <c r="C62" s="1">
        <v>30728887</v>
      </c>
      <c r="D62" s="5" t="s">
        <v>345</v>
      </c>
      <c r="E62" s="30">
        <v>1.6269</v>
      </c>
      <c r="F62" s="13">
        <f t="shared" si="0"/>
        <v>1.6269</v>
      </c>
      <c r="G62" s="20"/>
      <c r="H62" s="13"/>
      <c r="I62" s="20">
        <v>1.6269</v>
      </c>
      <c r="J62" s="13"/>
    </row>
    <row r="63" spans="1:10" ht="60" customHeight="1">
      <c r="A63" s="11" t="s">
        <v>310</v>
      </c>
      <c r="B63" s="11" t="s">
        <v>312</v>
      </c>
      <c r="C63" s="1">
        <v>22136622</v>
      </c>
      <c r="D63" s="5" t="s">
        <v>311</v>
      </c>
      <c r="E63" s="30">
        <v>0.33</v>
      </c>
      <c r="F63" s="13">
        <f t="shared" si="0"/>
        <v>0.33</v>
      </c>
      <c r="G63" s="20">
        <v>0.33</v>
      </c>
      <c r="H63" s="13"/>
      <c r="I63" s="20"/>
      <c r="J63" s="13"/>
    </row>
    <row r="64" spans="1:10" ht="59.25" customHeight="1">
      <c r="A64" s="11" t="s">
        <v>313</v>
      </c>
      <c r="B64" s="11" t="s">
        <v>27</v>
      </c>
      <c r="C64" s="1">
        <v>2820908254</v>
      </c>
      <c r="D64" s="5" t="s">
        <v>314</v>
      </c>
      <c r="E64" s="30">
        <v>11.6019</v>
      </c>
      <c r="F64" s="13">
        <f t="shared" si="0"/>
        <v>11.6019</v>
      </c>
      <c r="G64" s="20">
        <f>5.53896+1.7532+4.30974</f>
        <v>11.6019</v>
      </c>
      <c r="H64" s="13"/>
      <c r="I64" s="20"/>
      <c r="J64" s="13"/>
    </row>
    <row r="65" spans="1:10" ht="89.25" customHeight="1">
      <c r="A65" s="11" t="s">
        <v>347</v>
      </c>
      <c r="B65" s="11" t="s">
        <v>44</v>
      </c>
      <c r="C65" s="1">
        <v>2910606505</v>
      </c>
      <c r="D65" s="5" t="s">
        <v>348</v>
      </c>
      <c r="E65" s="30">
        <f>4.06+1.573+1.178+2.18075</f>
        <v>8.99175</v>
      </c>
      <c r="F65" s="13">
        <f t="shared" si="0"/>
        <v>8.99175</v>
      </c>
      <c r="G65" s="20">
        <f>1.573</f>
        <v>1.573</v>
      </c>
      <c r="H65" s="13"/>
      <c r="I65" s="20">
        <f>4.06+1.178+2.18075</f>
        <v>7.418749999999999</v>
      </c>
      <c r="J65" s="13"/>
    </row>
    <row r="66" spans="1:10" ht="73.5" customHeight="1">
      <c r="A66" s="11" t="s">
        <v>315</v>
      </c>
      <c r="B66" s="11" t="s">
        <v>44</v>
      </c>
      <c r="C66" s="1">
        <v>2910606505</v>
      </c>
      <c r="D66" s="5" t="s">
        <v>316</v>
      </c>
      <c r="E66" s="30">
        <v>0.748</v>
      </c>
      <c r="F66" s="13">
        <f t="shared" si="0"/>
        <v>0.748</v>
      </c>
      <c r="G66" s="20">
        <v>0.748</v>
      </c>
      <c r="H66" s="13"/>
      <c r="I66" s="20"/>
      <c r="J66" s="13"/>
    </row>
    <row r="67" spans="1:10" ht="61.5" customHeight="1">
      <c r="A67" s="11" t="s">
        <v>351</v>
      </c>
      <c r="B67" s="11" t="s">
        <v>350</v>
      </c>
      <c r="C67" s="1">
        <v>2387118949</v>
      </c>
      <c r="D67" s="5" t="s">
        <v>349</v>
      </c>
      <c r="E67" s="30">
        <v>35</v>
      </c>
      <c r="F67" s="13">
        <f t="shared" si="0"/>
        <v>35</v>
      </c>
      <c r="G67" s="20"/>
      <c r="H67" s="13"/>
      <c r="I67" s="20">
        <v>35</v>
      </c>
      <c r="J67" s="13"/>
    </row>
    <row r="68" spans="1:10" ht="135.75" customHeight="1">
      <c r="A68" s="11" t="s">
        <v>352</v>
      </c>
      <c r="B68" s="11" t="s">
        <v>353</v>
      </c>
      <c r="C68" s="1">
        <v>38229737</v>
      </c>
      <c r="D68" s="5" t="s">
        <v>354</v>
      </c>
      <c r="E68" s="30">
        <v>8.37</v>
      </c>
      <c r="F68" s="13">
        <f t="shared" si="0"/>
        <v>8.37</v>
      </c>
      <c r="G68" s="20"/>
      <c r="H68" s="13"/>
      <c r="I68" s="20">
        <v>8.37</v>
      </c>
      <c r="J68" s="13"/>
    </row>
    <row r="69" spans="1:10" ht="69" customHeight="1">
      <c r="A69" s="11" t="s">
        <v>380</v>
      </c>
      <c r="B69" s="11" t="s">
        <v>382</v>
      </c>
      <c r="C69" s="1">
        <v>2195809113</v>
      </c>
      <c r="D69" s="5" t="s">
        <v>381</v>
      </c>
      <c r="E69" s="30">
        <v>69</v>
      </c>
      <c r="F69" s="13">
        <f t="shared" si="0"/>
        <v>69</v>
      </c>
      <c r="G69" s="20">
        <f>45.072+23.928</f>
        <v>69</v>
      </c>
      <c r="H69" s="13"/>
      <c r="I69" s="20"/>
      <c r="J69" s="13"/>
    </row>
    <row r="70" spans="1:10" ht="121.5" customHeight="1">
      <c r="A70" s="11" t="s">
        <v>355</v>
      </c>
      <c r="B70" s="11" t="s">
        <v>357</v>
      </c>
      <c r="C70" s="1">
        <v>2783201570</v>
      </c>
      <c r="D70" s="5" t="s">
        <v>356</v>
      </c>
      <c r="E70" s="30">
        <v>5.6661</v>
      </c>
      <c r="F70" s="13">
        <f t="shared" si="0"/>
        <v>5.6661</v>
      </c>
      <c r="G70" s="20"/>
      <c r="H70" s="13"/>
      <c r="I70" s="20">
        <v>5.6661</v>
      </c>
      <c r="J70" s="13"/>
    </row>
    <row r="71" spans="1:10" ht="78.75" customHeight="1">
      <c r="A71" s="11" t="s">
        <v>395</v>
      </c>
      <c r="B71" s="11" t="s">
        <v>397</v>
      </c>
      <c r="C71" s="1">
        <v>38631848</v>
      </c>
      <c r="D71" s="5" t="s">
        <v>396</v>
      </c>
      <c r="E71" s="30">
        <v>3.67</v>
      </c>
      <c r="F71" s="13">
        <f t="shared" si="0"/>
        <v>3.67</v>
      </c>
      <c r="G71" s="20"/>
      <c r="H71" s="13"/>
      <c r="I71" s="20">
        <v>3.67</v>
      </c>
      <c r="J71" s="13"/>
    </row>
    <row r="72" spans="1:10" ht="79.5" customHeight="1">
      <c r="A72" s="11" t="s">
        <v>406</v>
      </c>
      <c r="B72" s="11" t="s">
        <v>407</v>
      </c>
      <c r="C72" s="1">
        <v>41239499</v>
      </c>
      <c r="D72" s="5" t="s">
        <v>408</v>
      </c>
      <c r="E72" s="30">
        <v>109.999</v>
      </c>
      <c r="F72" s="13">
        <f t="shared" si="0"/>
        <v>109.999</v>
      </c>
      <c r="G72" s="20"/>
      <c r="H72" s="13"/>
      <c r="I72" s="20">
        <v>109.999</v>
      </c>
      <c r="J72" s="13"/>
    </row>
    <row r="73" spans="1:10" ht="97.5" customHeight="1">
      <c r="A73" s="11" t="s">
        <v>383</v>
      </c>
      <c r="B73" s="11" t="s">
        <v>27</v>
      </c>
      <c r="C73" s="1">
        <v>2820908254</v>
      </c>
      <c r="D73" s="5" t="s">
        <v>384</v>
      </c>
      <c r="E73" s="30">
        <f>1.50204+1.4679</f>
        <v>2.9699400000000002</v>
      </c>
      <c r="F73" s="13">
        <f t="shared" si="0"/>
        <v>2.9699400000000002</v>
      </c>
      <c r="G73" s="20">
        <f>1.50204+1.4679</f>
        <v>2.9699400000000002</v>
      </c>
      <c r="H73" s="13"/>
      <c r="I73" s="20"/>
      <c r="J73" s="13"/>
    </row>
    <row r="74" spans="1:10" ht="115.5" customHeight="1">
      <c r="A74" s="11" t="s">
        <v>385</v>
      </c>
      <c r="B74" s="11" t="s">
        <v>27</v>
      </c>
      <c r="C74" s="1">
        <v>2820908254</v>
      </c>
      <c r="D74" s="5" t="s">
        <v>386</v>
      </c>
      <c r="E74" s="30">
        <f>1.98+1.66008+1.66008</f>
        <v>5.30016</v>
      </c>
      <c r="F74" s="13">
        <f t="shared" si="0"/>
        <v>5.30016</v>
      </c>
      <c r="G74" s="20">
        <f>1.98+1.66008+1.66008</f>
        <v>5.30016</v>
      </c>
      <c r="H74" s="13"/>
      <c r="I74" s="20"/>
      <c r="J74" s="13"/>
    </row>
    <row r="75" spans="1:10" ht="56.25" customHeight="1">
      <c r="A75" s="11" t="s">
        <v>387</v>
      </c>
      <c r="B75" s="11" t="s">
        <v>129</v>
      </c>
      <c r="C75" s="1">
        <v>36248687</v>
      </c>
      <c r="D75" s="5" t="s">
        <v>132</v>
      </c>
      <c r="E75" s="30">
        <v>30.216</v>
      </c>
      <c r="F75" s="13">
        <f t="shared" si="0"/>
        <v>30.216</v>
      </c>
      <c r="G75" s="20">
        <f>18.885+11.331</f>
        <v>30.216</v>
      </c>
      <c r="H75" s="13"/>
      <c r="I75" s="20"/>
      <c r="J75" s="13"/>
    </row>
    <row r="76" spans="1:10" ht="85.5" customHeight="1">
      <c r="A76" s="11" t="s">
        <v>398</v>
      </c>
      <c r="B76" s="11" t="s">
        <v>146</v>
      </c>
      <c r="C76" s="1">
        <v>37167117</v>
      </c>
      <c r="D76" s="5" t="s">
        <v>399</v>
      </c>
      <c r="E76" s="30">
        <v>6.362</v>
      </c>
      <c r="F76" s="13">
        <f t="shared" si="0"/>
        <v>6.362</v>
      </c>
      <c r="G76" s="20"/>
      <c r="H76" s="13"/>
      <c r="I76" s="20">
        <v>6.362</v>
      </c>
      <c r="J76" s="13"/>
    </row>
    <row r="77" spans="1:10" ht="100.5" customHeight="1">
      <c r="A77" s="11" t="s">
        <v>400</v>
      </c>
      <c r="B77" s="11" t="s">
        <v>401</v>
      </c>
      <c r="C77" s="1">
        <v>38316562</v>
      </c>
      <c r="D77" s="5" t="s">
        <v>402</v>
      </c>
      <c r="E77" s="30">
        <v>5.976</v>
      </c>
      <c r="F77" s="13">
        <f t="shared" si="0"/>
        <v>5.8266</v>
      </c>
      <c r="G77" s="20"/>
      <c r="H77" s="13"/>
      <c r="I77" s="20">
        <v>5.8266</v>
      </c>
      <c r="J77" s="13"/>
    </row>
    <row r="78" spans="1:10" ht="100.5" customHeight="1">
      <c r="A78" s="11" t="s">
        <v>415</v>
      </c>
      <c r="B78" s="11" t="s">
        <v>129</v>
      </c>
      <c r="C78" s="1">
        <v>36248687</v>
      </c>
      <c r="D78" s="5" t="s">
        <v>131</v>
      </c>
      <c r="E78" s="30">
        <v>46.4</v>
      </c>
      <c r="F78" s="13">
        <f t="shared" si="0"/>
        <v>46.0728</v>
      </c>
      <c r="G78" s="20">
        <v>46.0728</v>
      </c>
      <c r="H78" s="13"/>
      <c r="I78" s="20"/>
      <c r="J78" s="13"/>
    </row>
    <row r="79" spans="1:10" ht="72" customHeight="1">
      <c r="A79" s="11" t="s">
        <v>388</v>
      </c>
      <c r="B79" s="11" t="s">
        <v>44</v>
      </c>
      <c r="C79" s="1">
        <v>2910606505</v>
      </c>
      <c r="D79" s="5" t="s">
        <v>389</v>
      </c>
      <c r="E79" s="30">
        <v>1.286</v>
      </c>
      <c r="F79" s="13">
        <f t="shared" si="0"/>
        <v>1.286</v>
      </c>
      <c r="G79" s="20">
        <v>1.286</v>
      </c>
      <c r="H79" s="13"/>
      <c r="I79" s="20"/>
      <c r="J79" s="13"/>
    </row>
    <row r="80" spans="1:10" ht="99" customHeight="1">
      <c r="A80" s="11" t="s">
        <v>393</v>
      </c>
      <c r="B80" s="11" t="s">
        <v>135</v>
      </c>
      <c r="C80" s="1">
        <v>2251605227</v>
      </c>
      <c r="D80" s="5" t="s">
        <v>394</v>
      </c>
      <c r="E80" s="30">
        <v>1.1</v>
      </c>
      <c r="F80" s="13">
        <f t="shared" si="0"/>
        <v>1.1</v>
      </c>
      <c r="G80" s="20"/>
      <c r="H80" s="13">
        <v>1.1</v>
      </c>
      <c r="I80" s="20"/>
      <c r="J80" s="13"/>
    </row>
    <row r="81" spans="1:10" ht="99" customHeight="1">
      <c r="A81" s="11" t="s">
        <v>416</v>
      </c>
      <c r="B81" s="11" t="s">
        <v>417</v>
      </c>
      <c r="C81" s="1">
        <v>2146511192</v>
      </c>
      <c r="D81" s="5" t="s">
        <v>418</v>
      </c>
      <c r="E81" s="30">
        <v>10.64088</v>
      </c>
      <c r="F81" s="13">
        <f t="shared" si="0"/>
        <v>10.64088</v>
      </c>
      <c r="G81" s="20">
        <f>5.30988+5.331</f>
        <v>10.64088</v>
      </c>
      <c r="H81" s="13"/>
      <c r="I81" s="20"/>
      <c r="J81" s="13"/>
    </row>
    <row r="82" spans="1:10" ht="61.5" customHeight="1">
      <c r="A82" s="11" t="s">
        <v>409</v>
      </c>
      <c r="B82" s="11" t="s">
        <v>411</v>
      </c>
      <c r="C82" s="1">
        <v>2450017154</v>
      </c>
      <c r="D82" s="5" t="s">
        <v>410</v>
      </c>
      <c r="E82" s="30">
        <v>5.8</v>
      </c>
      <c r="F82" s="13">
        <f t="shared" si="0"/>
        <v>5.8</v>
      </c>
      <c r="G82" s="20">
        <v>0.6475</v>
      </c>
      <c r="H82" s="13"/>
      <c r="I82" s="20">
        <v>5.1525</v>
      </c>
      <c r="J82" s="13"/>
    </row>
    <row r="83" spans="1:10" ht="72.75" customHeight="1">
      <c r="A83" s="11" t="s">
        <v>423</v>
      </c>
      <c r="B83" s="11" t="s">
        <v>425</v>
      </c>
      <c r="C83" s="1">
        <v>39753676</v>
      </c>
      <c r="D83" s="5" t="s">
        <v>424</v>
      </c>
      <c r="E83" s="30">
        <v>3.4</v>
      </c>
      <c r="F83" s="13">
        <f t="shared" si="0"/>
        <v>3.39996</v>
      </c>
      <c r="G83" s="20">
        <v>3.39996</v>
      </c>
      <c r="H83" s="13"/>
      <c r="I83" s="20"/>
      <c r="J83" s="13"/>
    </row>
    <row r="84" spans="1:10" ht="81" customHeight="1">
      <c r="A84" s="11" t="s">
        <v>436</v>
      </c>
      <c r="B84" s="11" t="s">
        <v>437</v>
      </c>
      <c r="C84" s="1">
        <v>25523816</v>
      </c>
      <c r="D84" s="5" t="s">
        <v>62</v>
      </c>
      <c r="E84" s="30">
        <v>5.02184</v>
      </c>
      <c r="F84" s="13">
        <f t="shared" si="0"/>
        <v>5.02184</v>
      </c>
      <c r="G84" s="20"/>
      <c r="H84" s="13">
        <v>5.02184</v>
      </c>
      <c r="I84" s="20"/>
      <c r="J84" s="13"/>
    </row>
    <row r="85" spans="1:10" ht="99" customHeight="1">
      <c r="A85" s="11" t="s">
        <v>412</v>
      </c>
      <c r="B85" s="11" t="s">
        <v>413</v>
      </c>
      <c r="C85" s="1">
        <v>1719214871</v>
      </c>
      <c r="D85" s="5" t="s">
        <v>414</v>
      </c>
      <c r="E85" s="30">
        <v>9.834</v>
      </c>
      <c r="F85" s="13">
        <f t="shared" si="0"/>
        <v>9.834</v>
      </c>
      <c r="G85" s="20"/>
      <c r="H85" s="13"/>
      <c r="I85" s="20">
        <v>9.834</v>
      </c>
      <c r="J85" s="13"/>
    </row>
    <row r="86" spans="1:10" ht="99" customHeight="1">
      <c r="A86" s="11" t="s">
        <v>454</v>
      </c>
      <c r="B86" s="11" t="s">
        <v>167</v>
      </c>
      <c r="C86" s="1">
        <v>32297434</v>
      </c>
      <c r="D86" s="5" t="s">
        <v>455</v>
      </c>
      <c r="E86" s="30">
        <v>10.1567</v>
      </c>
      <c r="F86" s="13">
        <f t="shared" si="0"/>
        <v>10.1567</v>
      </c>
      <c r="G86" s="20"/>
      <c r="H86" s="13"/>
      <c r="I86" s="20">
        <v>10.1567</v>
      </c>
      <c r="J86" s="13"/>
    </row>
    <row r="87" spans="1:10" ht="99" customHeight="1">
      <c r="A87" s="11" t="s">
        <v>479</v>
      </c>
      <c r="B87" s="11" t="s">
        <v>480</v>
      </c>
      <c r="C87" s="1">
        <v>38839332</v>
      </c>
      <c r="D87" s="5" t="s">
        <v>131</v>
      </c>
      <c r="E87" s="30">
        <v>41.584</v>
      </c>
      <c r="F87" s="13">
        <f t="shared" si="0"/>
        <v>41.64417</v>
      </c>
      <c r="G87" s="20">
        <f>7.836+10.70817</f>
        <v>18.54417</v>
      </c>
      <c r="H87" s="13">
        <v>23.1</v>
      </c>
      <c r="I87" s="20"/>
      <c r="J87" s="13"/>
    </row>
    <row r="88" spans="1:10" ht="99" customHeight="1">
      <c r="A88" s="11" t="s">
        <v>481</v>
      </c>
      <c r="B88" s="11" t="s">
        <v>480</v>
      </c>
      <c r="C88" s="1">
        <v>38839332</v>
      </c>
      <c r="D88" s="5" t="s">
        <v>132</v>
      </c>
      <c r="E88" s="30">
        <v>30.936</v>
      </c>
      <c r="F88" s="13">
        <f t="shared" si="0"/>
        <v>30.92255</v>
      </c>
      <c r="G88" s="20">
        <f>8.6363+22.28625</f>
        <v>30.92255</v>
      </c>
      <c r="H88" s="13"/>
      <c r="I88" s="20"/>
      <c r="J88" s="13"/>
    </row>
    <row r="89" spans="1:10" ht="75.75" customHeight="1">
      <c r="A89" s="11" t="s">
        <v>456</v>
      </c>
      <c r="B89" s="11" t="s">
        <v>146</v>
      </c>
      <c r="C89" s="1">
        <v>37167117</v>
      </c>
      <c r="D89" s="5" t="s">
        <v>457</v>
      </c>
      <c r="E89" s="30">
        <v>10.998</v>
      </c>
      <c r="F89" s="13">
        <f t="shared" si="0"/>
        <v>10.998000000000001</v>
      </c>
      <c r="G89" s="40"/>
      <c r="H89" s="13"/>
      <c r="I89" s="20">
        <f>7.176+3.822</f>
        <v>10.998000000000001</v>
      </c>
      <c r="J89" s="13"/>
    </row>
    <row r="90" spans="1:10" ht="81" customHeight="1">
      <c r="A90" s="11" t="s">
        <v>492</v>
      </c>
      <c r="B90" s="5" t="s">
        <v>234</v>
      </c>
      <c r="C90" s="32">
        <v>2819313730</v>
      </c>
      <c r="D90" s="5" t="s">
        <v>491</v>
      </c>
      <c r="E90" s="30">
        <v>1.692</v>
      </c>
      <c r="F90" s="13">
        <f t="shared" si="0"/>
        <v>1.692</v>
      </c>
      <c r="G90" s="20"/>
      <c r="H90" s="13"/>
      <c r="I90" s="20">
        <v>1.692</v>
      </c>
      <c r="J90" s="13"/>
    </row>
    <row r="91" spans="1:10" ht="81" customHeight="1">
      <c r="A91" s="11" t="s">
        <v>555</v>
      </c>
      <c r="B91" s="5" t="s">
        <v>556</v>
      </c>
      <c r="C91" s="32">
        <v>33640444</v>
      </c>
      <c r="D91" s="5" t="s">
        <v>226</v>
      </c>
      <c r="E91" s="30">
        <v>5.295</v>
      </c>
      <c r="F91" s="13">
        <f t="shared" si="0"/>
        <v>5.295</v>
      </c>
      <c r="G91" s="20">
        <v>5.295</v>
      </c>
      <c r="H91" s="13"/>
      <c r="I91" s="20"/>
      <c r="J91" s="13"/>
    </row>
    <row r="92" spans="1:10" ht="63" customHeight="1">
      <c r="A92" s="11" t="s">
        <v>458</v>
      </c>
      <c r="B92" s="11" t="s">
        <v>459</v>
      </c>
      <c r="C92" s="1">
        <v>2123814902</v>
      </c>
      <c r="D92" s="5" t="s">
        <v>460</v>
      </c>
      <c r="E92" s="30">
        <v>2.009</v>
      </c>
      <c r="F92" s="13">
        <f t="shared" si="0"/>
        <v>2.009</v>
      </c>
      <c r="G92" s="20"/>
      <c r="H92" s="13"/>
      <c r="I92" s="20">
        <v>2.009</v>
      </c>
      <c r="J92" s="13"/>
    </row>
    <row r="93" spans="1:10" ht="77.25" customHeight="1">
      <c r="A93" s="11" t="s">
        <v>461</v>
      </c>
      <c r="B93" s="11" t="s">
        <v>459</v>
      </c>
      <c r="C93" s="1">
        <v>2123814902</v>
      </c>
      <c r="D93" s="5" t="s">
        <v>462</v>
      </c>
      <c r="E93" s="30">
        <v>1.24</v>
      </c>
      <c r="F93" s="13">
        <f t="shared" si="0"/>
        <v>1.24</v>
      </c>
      <c r="G93" s="20"/>
      <c r="H93" s="13"/>
      <c r="I93" s="20">
        <v>1.24</v>
      </c>
      <c r="J93" s="13"/>
    </row>
    <row r="94" spans="1:10" ht="140.25" customHeight="1">
      <c r="A94" s="11" t="s">
        <v>463</v>
      </c>
      <c r="B94" s="11" t="s">
        <v>459</v>
      </c>
      <c r="C94" s="1">
        <v>2123814902</v>
      </c>
      <c r="D94" s="5" t="s">
        <v>464</v>
      </c>
      <c r="E94" s="30">
        <v>3.0628</v>
      </c>
      <c r="F94" s="13">
        <f t="shared" si="0"/>
        <v>3.0628</v>
      </c>
      <c r="G94" s="20"/>
      <c r="H94" s="13"/>
      <c r="I94" s="20">
        <v>3.0628</v>
      </c>
      <c r="J94" s="13"/>
    </row>
    <row r="95" spans="1:10" ht="99" customHeight="1">
      <c r="A95" s="11" t="s">
        <v>465</v>
      </c>
      <c r="B95" s="11" t="s">
        <v>459</v>
      </c>
      <c r="C95" s="1">
        <v>2123814902</v>
      </c>
      <c r="D95" s="5" t="s">
        <v>466</v>
      </c>
      <c r="E95" s="30">
        <v>0.7</v>
      </c>
      <c r="F95" s="13">
        <f t="shared" si="0"/>
        <v>0.7</v>
      </c>
      <c r="G95" s="20"/>
      <c r="H95" s="13"/>
      <c r="I95" s="20">
        <v>0.7</v>
      </c>
      <c r="J95" s="13"/>
    </row>
    <row r="96" spans="1:10" ht="75" customHeight="1">
      <c r="A96" s="11" t="s">
        <v>482</v>
      </c>
      <c r="B96" s="11" t="s">
        <v>44</v>
      </c>
      <c r="C96" s="1">
        <v>2910606505</v>
      </c>
      <c r="D96" s="5" t="s">
        <v>483</v>
      </c>
      <c r="E96" s="30">
        <v>0.12</v>
      </c>
      <c r="F96" s="13">
        <f t="shared" si="0"/>
        <v>0.12</v>
      </c>
      <c r="G96" s="20">
        <v>0.12</v>
      </c>
      <c r="H96" s="13"/>
      <c r="I96" s="20"/>
      <c r="J96" s="13"/>
    </row>
    <row r="97" spans="1:10" ht="78" customHeight="1">
      <c r="A97" s="11" t="s">
        <v>467</v>
      </c>
      <c r="B97" s="11" t="s">
        <v>44</v>
      </c>
      <c r="C97" s="1">
        <v>2910606505</v>
      </c>
      <c r="D97" s="5" t="s">
        <v>468</v>
      </c>
      <c r="E97" s="30">
        <v>2.348</v>
      </c>
      <c r="F97" s="13">
        <f t="shared" si="0"/>
        <v>2.348</v>
      </c>
      <c r="G97" s="20"/>
      <c r="H97" s="13"/>
      <c r="I97" s="20">
        <v>2.348</v>
      </c>
      <c r="J97" s="13"/>
    </row>
    <row r="98" spans="1:10" ht="99" customHeight="1">
      <c r="A98" s="11" t="s">
        <v>484</v>
      </c>
      <c r="B98" s="11" t="s">
        <v>44</v>
      </c>
      <c r="C98" s="1">
        <v>2910606505</v>
      </c>
      <c r="D98" s="5" t="s">
        <v>485</v>
      </c>
      <c r="E98" s="30">
        <v>1.625</v>
      </c>
      <c r="F98" s="13">
        <f t="shared" si="0"/>
        <v>1.625</v>
      </c>
      <c r="G98" s="20">
        <v>1.625</v>
      </c>
      <c r="H98" s="13"/>
      <c r="I98" s="20"/>
      <c r="J98" s="13"/>
    </row>
    <row r="99" spans="1:10" ht="76.5" customHeight="1">
      <c r="A99" s="11" t="s">
        <v>486</v>
      </c>
      <c r="B99" s="11" t="s">
        <v>44</v>
      </c>
      <c r="C99" s="1">
        <v>2910606505</v>
      </c>
      <c r="D99" s="5" t="s">
        <v>487</v>
      </c>
      <c r="E99" s="30">
        <v>1.154</v>
      </c>
      <c r="F99" s="13">
        <f t="shared" si="0"/>
        <v>1.154</v>
      </c>
      <c r="G99" s="20">
        <v>1.154</v>
      </c>
      <c r="H99" s="13"/>
      <c r="I99" s="20"/>
      <c r="J99" s="13"/>
    </row>
    <row r="100" spans="1:10" ht="72.75" customHeight="1">
      <c r="A100" s="11" t="s">
        <v>498</v>
      </c>
      <c r="B100" s="11" t="s">
        <v>499</v>
      </c>
      <c r="C100" s="1">
        <v>2234216411</v>
      </c>
      <c r="D100" s="5" t="s">
        <v>497</v>
      </c>
      <c r="E100" s="30">
        <v>2.664</v>
      </c>
      <c r="F100" s="13">
        <f t="shared" si="0"/>
        <v>2.664</v>
      </c>
      <c r="G100" s="20"/>
      <c r="H100" s="13"/>
      <c r="I100" s="20">
        <v>2.664</v>
      </c>
      <c r="J100" s="13"/>
    </row>
    <row r="101" spans="1:10" ht="84.75" customHeight="1">
      <c r="A101" s="11" t="s">
        <v>495</v>
      </c>
      <c r="B101" s="5" t="s">
        <v>234</v>
      </c>
      <c r="C101" s="32">
        <v>2819313730</v>
      </c>
      <c r="D101" s="5" t="s">
        <v>496</v>
      </c>
      <c r="E101" s="30">
        <v>6.36</v>
      </c>
      <c r="F101" s="13">
        <f t="shared" si="0"/>
        <v>6.36</v>
      </c>
      <c r="G101" s="20"/>
      <c r="H101" s="13"/>
      <c r="I101" s="20">
        <v>6.36</v>
      </c>
      <c r="J101" s="13"/>
    </row>
    <row r="102" spans="1:10" ht="78.75" customHeight="1">
      <c r="A102" s="11" t="s">
        <v>500</v>
      </c>
      <c r="B102" s="5" t="s">
        <v>234</v>
      </c>
      <c r="C102" s="32">
        <v>2819313730</v>
      </c>
      <c r="D102" s="5" t="s">
        <v>501</v>
      </c>
      <c r="E102" s="30">
        <v>0.38</v>
      </c>
      <c r="F102" s="13">
        <f t="shared" si="0"/>
        <v>0.38</v>
      </c>
      <c r="G102" s="20"/>
      <c r="H102" s="13"/>
      <c r="I102" s="20">
        <v>0.38</v>
      </c>
      <c r="J102" s="13"/>
    </row>
    <row r="103" spans="1:10" ht="81.75" customHeight="1">
      <c r="A103" s="11" t="s">
        <v>493</v>
      </c>
      <c r="B103" s="11" t="s">
        <v>146</v>
      </c>
      <c r="C103" s="1">
        <v>37167117</v>
      </c>
      <c r="D103" s="5" t="s">
        <v>494</v>
      </c>
      <c r="E103" s="30">
        <v>4.668</v>
      </c>
      <c r="F103" s="13">
        <f t="shared" si="0"/>
        <v>4.668</v>
      </c>
      <c r="G103" s="20"/>
      <c r="H103" s="13"/>
      <c r="I103" s="20">
        <v>4.668</v>
      </c>
      <c r="J103" s="13"/>
    </row>
    <row r="104" spans="1:10" ht="77.25" customHeight="1">
      <c r="A104" s="11" t="s">
        <v>490</v>
      </c>
      <c r="B104" s="11" t="s">
        <v>489</v>
      </c>
      <c r="C104" s="1">
        <v>13612779</v>
      </c>
      <c r="D104" s="5" t="s">
        <v>488</v>
      </c>
      <c r="E104" s="30">
        <v>2.7364</v>
      </c>
      <c r="F104" s="13">
        <f t="shared" si="0"/>
        <v>2.7364</v>
      </c>
      <c r="G104" s="20"/>
      <c r="H104" s="13">
        <v>2.7364</v>
      </c>
      <c r="I104" s="20"/>
      <c r="J104" s="13"/>
    </row>
    <row r="105" spans="1:10" ht="75.75" customHeight="1">
      <c r="A105" s="11" t="s">
        <v>504</v>
      </c>
      <c r="B105" s="11" t="s">
        <v>503</v>
      </c>
      <c r="C105" s="1">
        <v>1848512834</v>
      </c>
      <c r="D105" s="5" t="s">
        <v>502</v>
      </c>
      <c r="E105" s="30">
        <v>32.24039</v>
      </c>
      <c r="F105" s="13">
        <f t="shared" si="0"/>
        <v>32.24039</v>
      </c>
      <c r="G105" s="20"/>
      <c r="H105" s="13"/>
      <c r="I105" s="20">
        <v>32.24039</v>
      </c>
      <c r="J105" s="13"/>
    </row>
    <row r="106" spans="1:10" ht="66" customHeight="1">
      <c r="A106" s="11" t="s">
        <v>505</v>
      </c>
      <c r="B106" s="11" t="s">
        <v>507</v>
      </c>
      <c r="C106" s="1">
        <v>2307200094</v>
      </c>
      <c r="D106" s="5" t="s">
        <v>506</v>
      </c>
      <c r="E106" s="30">
        <v>7.891</v>
      </c>
      <c r="F106" s="13">
        <f t="shared" si="0"/>
        <v>7.891</v>
      </c>
      <c r="G106" s="20"/>
      <c r="H106" s="13"/>
      <c r="I106" s="20">
        <v>7.891</v>
      </c>
      <c r="J106" s="13"/>
    </row>
    <row r="107" spans="1:10" ht="99" customHeight="1">
      <c r="A107" s="11" t="s">
        <v>572</v>
      </c>
      <c r="B107" s="11" t="s">
        <v>480</v>
      </c>
      <c r="C107" s="1">
        <v>38839332</v>
      </c>
      <c r="D107" s="5" t="s">
        <v>132</v>
      </c>
      <c r="E107" s="30">
        <v>34.44</v>
      </c>
      <c r="F107" s="13">
        <f t="shared" si="0"/>
        <v>34.4169</v>
      </c>
      <c r="G107" s="20">
        <f>19.3725+15.0444</f>
        <v>34.4169</v>
      </c>
      <c r="H107" s="13"/>
      <c r="I107" s="20"/>
      <c r="J107" s="13"/>
    </row>
    <row r="108" spans="1:10" ht="96.75" customHeight="1">
      <c r="A108" s="11" t="s">
        <v>557</v>
      </c>
      <c r="B108" s="11" t="s">
        <v>480</v>
      </c>
      <c r="C108" s="1">
        <v>38839332</v>
      </c>
      <c r="D108" s="5" t="s">
        <v>558</v>
      </c>
      <c r="E108" s="30">
        <v>43.912</v>
      </c>
      <c r="F108" s="13">
        <f t="shared" si="0"/>
        <v>38.0058</v>
      </c>
      <c r="G108" s="20">
        <f>20.0304+17.9754</f>
        <v>38.0058</v>
      </c>
      <c r="H108" s="13"/>
      <c r="I108" s="20"/>
      <c r="J108" s="13"/>
    </row>
    <row r="109" spans="1:10" ht="96.75" customHeight="1">
      <c r="A109" s="11" t="s">
        <v>595</v>
      </c>
      <c r="B109" s="11" t="s">
        <v>135</v>
      </c>
      <c r="C109" s="1">
        <v>2251605227</v>
      </c>
      <c r="D109" s="5" t="s">
        <v>596</v>
      </c>
      <c r="E109" s="30">
        <v>4.5</v>
      </c>
      <c r="F109" s="13">
        <f t="shared" si="0"/>
        <v>4.5</v>
      </c>
      <c r="G109" s="20"/>
      <c r="H109" s="13"/>
      <c r="I109" s="20">
        <v>4.5</v>
      </c>
      <c r="J109" s="13"/>
    </row>
    <row r="110" spans="1:10" ht="157.5" customHeight="1">
      <c r="A110" s="11" t="s">
        <v>597</v>
      </c>
      <c r="B110" s="11" t="s">
        <v>135</v>
      </c>
      <c r="C110" s="1">
        <v>2251605227</v>
      </c>
      <c r="D110" s="5" t="s">
        <v>598</v>
      </c>
      <c r="E110" s="30">
        <v>18.144</v>
      </c>
      <c r="F110" s="13">
        <f t="shared" si="0"/>
        <v>18.144</v>
      </c>
      <c r="G110" s="20"/>
      <c r="H110" s="13"/>
      <c r="I110" s="20">
        <v>18.144</v>
      </c>
      <c r="J110" s="13"/>
    </row>
    <row r="111" spans="1:10" ht="157.5" customHeight="1">
      <c r="A111" s="11" t="s">
        <v>599</v>
      </c>
      <c r="B111" s="11" t="s">
        <v>601</v>
      </c>
      <c r="C111" s="1">
        <v>2048306550</v>
      </c>
      <c r="D111" s="5" t="s">
        <v>600</v>
      </c>
      <c r="E111" s="30">
        <v>5</v>
      </c>
      <c r="F111" s="13">
        <f t="shared" si="0"/>
        <v>5</v>
      </c>
      <c r="G111" s="20"/>
      <c r="H111" s="13"/>
      <c r="I111" s="20">
        <v>5</v>
      </c>
      <c r="J111" s="13"/>
    </row>
    <row r="112" spans="1:10" ht="92.25" customHeight="1">
      <c r="A112" s="11" t="s">
        <v>616</v>
      </c>
      <c r="B112" s="11" t="s">
        <v>44</v>
      </c>
      <c r="C112" s="1">
        <v>2910606505</v>
      </c>
      <c r="D112" s="1" t="s">
        <v>617</v>
      </c>
      <c r="E112" s="30">
        <v>0.095</v>
      </c>
      <c r="F112" s="13">
        <f t="shared" si="0"/>
        <v>0.095</v>
      </c>
      <c r="G112" s="20">
        <f>0.095</f>
        <v>0.095</v>
      </c>
      <c r="H112" s="13"/>
      <c r="I112" s="20"/>
      <c r="J112" s="13"/>
    </row>
    <row r="113" spans="1:10" ht="92.25" customHeight="1">
      <c r="A113" s="11" t="s">
        <v>618</v>
      </c>
      <c r="B113" s="11" t="s">
        <v>44</v>
      </c>
      <c r="C113" s="1">
        <v>2910606505</v>
      </c>
      <c r="D113" s="1" t="s">
        <v>619</v>
      </c>
      <c r="E113" s="30">
        <v>2.4</v>
      </c>
      <c r="F113" s="13">
        <f t="shared" si="0"/>
        <v>2.4</v>
      </c>
      <c r="G113" s="20">
        <v>2.4</v>
      </c>
      <c r="H113" s="13"/>
      <c r="I113" s="20"/>
      <c r="J113" s="13"/>
    </row>
    <row r="114" spans="1:10" ht="96.75" customHeight="1">
      <c r="A114" s="11" t="s">
        <v>577</v>
      </c>
      <c r="B114" s="11" t="s">
        <v>579</v>
      </c>
      <c r="C114" s="1">
        <v>3315315510</v>
      </c>
      <c r="D114" s="5" t="s">
        <v>578</v>
      </c>
      <c r="E114" s="30">
        <v>9.768</v>
      </c>
      <c r="F114" s="13">
        <f t="shared" si="0"/>
        <v>9.768</v>
      </c>
      <c r="G114" s="20"/>
      <c r="H114" s="13"/>
      <c r="I114" s="20">
        <v>9.768</v>
      </c>
      <c r="J114" s="13"/>
    </row>
    <row r="115" spans="1:10" ht="96.75" customHeight="1">
      <c r="A115" s="11" t="s">
        <v>580</v>
      </c>
      <c r="B115" s="11" t="s">
        <v>582</v>
      </c>
      <c r="C115" s="1">
        <v>2349221560</v>
      </c>
      <c r="D115" s="5" t="s">
        <v>581</v>
      </c>
      <c r="E115" s="30">
        <v>18.635</v>
      </c>
      <c r="F115" s="13">
        <f t="shared" si="0"/>
        <v>18.635</v>
      </c>
      <c r="G115" s="20"/>
      <c r="H115" s="13"/>
      <c r="I115" s="20">
        <v>18.635</v>
      </c>
      <c r="J115" s="13"/>
    </row>
    <row r="116" spans="1:10" ht="96.75" customHeight="1">
      <c r="A116" s="11" t="s">
        <v>583</v>
      </c>
      <c r="B116" s="11" t="s">
        <v>584</v>
      </c>
      <c r="C116" s="1">
        <v>39393590</v>
      </c>
      <c r="D116" s="5" t="s">
        <v>585</v>
      </c>
      <c r="E116" s="30">
        <v>2.964</v>
      </c>
      <c r="F116" s="13">
        <f t="shared" si="0"/>
        <v>2.964</v>
      </c>
      <c r="G116" s="20"/>
      <c r="H116" s="13"/>
      <c r="I116" s="20">
        <v>2.964</v>
      </c>
      <c r="J116" s="13"/>
    </row>
    <row r="117" spans="1:10" ht="96.75" customHeight="1">
      <c r="A117" s="11" t="s">
        <v>621</v>
      </c>
      <c r="B117" s="11" t="s">
        <v>306</v>
      </c>
      <c r="C117" s="1">
        <v>20509800</v>
      </c>
      <c r="D117" s="42" t="s">
        <v>620</v>
      </c>
      <c r="E117" s="30">
        <v>1.08</v>
      </c>
      <c r="F117" s="13">
        <f t="shared" si="0"/>
        <v>1.08</v>
      </c>
      <c r="G117" s="20">
        <v>1.08</v>
      </c>
      <c r="H117" s="13"/>
      <c r="I117" s="20"/>
      <c r="J117" s="13"/>
    </row>
    <row r="118" spans="1:10" ht="96.75" customHeight="1">
      <c r="A118" s="11" t="s">
        <v>586</v>
      </c>
      <c r="B118" s="11" t="s">
        <v>579</v>
      </c>
      <c r="C118" s="1">
        <v>3315315510</v>
      </c>
      <c r="D118" s="5" t="s">
        <v>587</v>
      </c>
      <c r="E118" s="30">
        <v>28.908</v>
      </c>
      <c r="F118" s="13">
        <f t="shared" si="0"/>
        <v>28.908</v>
      </c>
      <c r="G118" s="20"/>
      <c r="H118" s="13"/>
      <c r="I118" s="20">
        <v>28.908</v>
      </c>
      <c r="J118" s="13"/>
    </row>
    <row r="119" spans="1:10" ht="96.75" customHeight="1">
      <c r="A119" s="11" t="s">
        <v>588</v>
      </c>
      <c r="B119" s="11" t="s">
        <v>579</v>
      </c>
      <c r="C119" s="1">
        <v>3315315510</v>
      </c>
      <c r="D119" s="5" t="s">
        <v>589</v>
      </c>
      <c r="E119" s="30">
        <v>88.77</v>
      </c>
      <c r="F119" s="13">
        <f t="shared" si="0"/>
        <v>88.77</v>
      </c>
      <c r="G119" s="20"/>
      <c r="H119" s="13"/>
      <c r="I119" s="20">
        <v>88.77</v>
      </c>
      <c r="J119" s="13"/>
    </row>
    <row r="120" spans="1:10" ht="96.75" customHeight="1">
      <c r="A120" s="11" t="s">
        <v>590</v>
      </c>
      <c r="B120" s="11" t="s">
        <v>146</v>
      </c>
      <c r="C120" s="1">
        <v>37167117</v>
      </c>
      <c r="D120" s="5" t="s">
        <v>591</v>
      </c>
      <c r="E120" s="30">
        <v>2.3874</v>
      </c>
      <c r="F120" s="13">
        <f t="shared" si="0"/>
        <v>2.3874</v>
      </c>
      <c r="G120" s="20"/>
      <c r="H120" s="13"/>
      <c r="I120" s="20">
        <v>2.3874</v>
      </c>
      <c r="J120" s="13"/>
    </row>
    <row r="121" spans="1:10" ht="96.75" customHeight="1">
      <c r="A121" s="11" t="s">
        <v>592</v>
      </c>
      <c r="B121" s="11" t="s">
        <v>593</v>
      </c>
      <c r="C121" s="1">
        <v>2532900753</v>
      </c>
      <c r="D121" s="5" t="s">
        <v>594</v>
      </c>
      <c r="E121" s="30">
        <v>1.998</v>
      </c>
      <c r="F121" s="13">
        <f t="shared" si="0"/>
        <v>1.998</v>
      </c>
      <c r="G121" s="20"/>
      <c r="H121" s="13"/>
      <c r="I121" s="20">
        <v>1.998</v>
      </c>
      <c r="J121" s="13"/>
    </row>
    <row r="122" spans="1:10" ht="65.25" customHeight="1">
      <c r="A122" s="11" t="s">
        <v>419</v>
      </c>
      <c r="B122" s="11" t="s">
        <v>306</v>
      </c>
      <c r="C122" s="1">
        <v>20509800</v>
      </c>
      <c r="D122" s="5" t="s">
        <v>420</v>
      </c>
      <c r="E122" s="30">
        <v>6.46115</v>
      </c>
      <c r="F122" s="13">
        <f t="shared" si="0"/>
        <v>6.46115</v>
      </c>
      <c r="G122" s="20">
        <v>6.46115</v>
      </c>
      <c r="H122" s="13"/>
      <c r="I122" s="20"/>
      <c r="J122" s="13"/>
    </row>
    <row r="123" spans="1:10" ht="81" customHeight="1">
      <c r="A123" s="11" t="s">
        <v>421</v>
      </c>
      <c r="B123" s="11" t="s">
        <v>306</v>
      </c>
      <c r="C123" s="1">
        <v>20509800</v>
      </c>
      <c r="D123" s="5" t="s">
        <v>422</v>
      </c>
      <c r="E123" s="30">
        <v>1.98</v>
      </c>
      <c r="F123" s="13">
        <f t="shared" si="0"/>
        <v>1.98</v>
      </c>
      <c r="G123" s="20">
        <v>1.98</v>
      </c>
      <c r="H123" s="13"/>
      <c r="I123" s="20"/>
      <c r="J123" s="13"/>
    </row>
    <row r="124" spans="1:10" ht="63" customHeight="1">
      <c r="A124" s="11" t="s">
        <v>305</v>
      </c>
      <c r="B124" s="11" t="s">
        <v>306</v>
      </c>
      <c r="C124" s="1">
        <v>20509800</v>
      </c>
      <c r="D124" s="5" t="s">
        <v>307</v>
      </c>
      <c r="E124" s="30">
        <v>0.0496</v>
      </c>
      <c r="F124" s="13">
        <f t="shared" si="0"/>
        <v>0.0496</v>
      </c>
      <c r="G124" s="20">
        <v>0.0496</v>
      </c>
      <c r="H124" s="13"/>
      <c r="I124" s="20"/>
      <c r="J124" s="13"/>
    </row>
    <row r="125" spans="1:10" ht="56.25">
      <c r="A125" s="11" t="s">
        <v>121</v>
      </c>
      <c r="B125" s="11" t="s">
        <v>122</v>
      </c>
      <c r="C125" s="12" t="s">
        <v>124</v>
      </c>
      <c r="D125" s="5" t="s">
        <v>123</v>
      </c>
      <c r="E125" s="20">
        <v>4.2408</v>
      </c>
      <c r="F125" s="13">
        <f t="shared" si="0"/>
        <v>3.95638</v>
      </c>
      <c r="G125" s="20">
        <f>0.44712+0.89424+0.87768+0.43056+0.43056+0.44566+0.43056</f>
        <v>3.95638</v>
      </c>
      <c r="H125" s="13"/>
      <c r="I125" s="20"/>
      <c r="J125" s="13"/>
    </row>
    <row r="126" spans="1:10" ht="37.5">
      <c r="A126" s="11" t="s">
        <v>218</v>
      </c>
      <c r="B126" s="11" t="s">
        <v>435</v>
      </c>
      <c r="C126" s="12" t="s">
        <v>56</v>
      </c>
      <c r="D126" s="5" t="s">
        <v>434</v>
      </c>
      <c r="E126" s="20">
        <f>-3.61296-5.09708-4.86229-0.65463-0.22383</f>
        <v>-14.450789999999998</v>
      </c>
      <c r="F126" s="13">
        <f t="shared" si="0"/>
        <v>-14.450789999999998</v>
      </c>
      <c r="G126" s="20">
        <f>-3.61296-5.09708-4.86229-0.65463-0.22383</f>
        <v>-14.450789999999998</v>
      </c>
      <c r="H126" s="13"/>
      <c r="I126" s="20"/>
      <c r="J126" s="13"/>
    </row>
    <row r="127" spans="1:10" ht="56.25">
      <c r="A127" s="11" t="s">
        <v>218</v>
      </c>
      <c r="B127" s="11" t="s">
        <v>297</v>
      </c>
      <c r="C127" s="12" t="s">
        <v>56</v>
      </c>
      <c r="D127" s="5" t="s">
        <v>298</v>
      </c>
      <c r="E127" s="20">
        <v>3</v>
      </c>
      <c r="F127" s="13">
        <f t="shared" si="0"/>
        <v>3</v>
      </c>
      <c r="G127" s="20"/>
      <c r="H127" s="13"/>
      <c r="I127" s="20">
        <v>3</v>
      </c>
      <c r="J127" s="13"/>
    </row>
    <row r="128" spans="1:10" ht="56.25">
      <c r="A128" s="11" t="s">
        <v>218</v>
      </c>
      <c r="B128" s="11" t="s">
        <v>299</v>
      </c>
      <c r="C128" s="12" t="s">
        <v>56</v>
      </c>
      <c r="D128" s="5" t="s">
        <v>300</v>
      </c>
      <c r="E128" s="20">
        <v>0.4058</v>
      </c>
      <c r="F128" s="13">
        <f t="shared" si="0"/>
        <v>0.4058</v>
      </c>
      <c r="G128" s="20"/>
      <c r="H128" s="13"/>
      <c r="I128" s="20">
        <v>0.4058</v>
      </c>
      <c r="J128" s="13"/>
    </row>
    <row r="129" spans="1:10" ht="56.25">
      <c r="A129" s="11" t="s">
        <v>218</v>
      </c>
      <c r="B129" s="11" t="s">
        <v>301</v>
      </c>
      <c r="C129" s="12" t="s">
        <v>56</v>
      </c>
      <c r="D129" s="5" t="s">
        <v>302</v>
      </c>
      <c r="E129" s="20">
        <v>2.96</v>
      </c>
      <c r="F129" s="13">
        <f t="shared" si="0"/>
        <v>2.96</v>
      </c>
      <c r="G129" s="20"/>
      <c r="H129" s="13"/>
      <c r="I129" s="20">
        <v>2.96</v>
      </c>
      <c r="J129" s="13"/>
    </row>
    <row r="130" spans="1:10" ht="45" customHeight="1">
      <c r="A130" s="11" t="s">
        <v>218</v>
      </c>
      <c r="B130" s="11" t="s">
        <v>303</v>
      </c>
      <c r="C130" s="12"/>
      <c r="D130" s="5" t="s">
        <v>304</v>
      </c>
      <c r="E130" s="20">
        <v>2.6668</v>
      </c>
      <c r="F130" s="13">
        <f t="shared" si="0"/>
        <v>2.6668</v>
      </c>
      <c r="G130" s="20"/>
      <c r="H130" s="13"/>
      <c r="I130" s="20">
        <v>2.6668</v>
      </c>
      <c r="J130" s="13"/>
    </row>
    <row r="131" spans="1:10" ht="93.75">
      <c r="A131" s="11" t="s">
        <v>218</v>
      </c>
      <c r="B131" s="11" t="s">
        <v>42</v>
      </c>
      <c r="C131" s="1" t="s">
        <v>113</v>
      </c>
      <c r="D131" s="5" t="s">
        <v>219</v>
      </c>
      <c r="E131" s="20" t="s">
        <v>56</v>
      </c>
      <c r="F131" s="13">
        <f t="shared" si="0"/>
        <v>255.4</v>
      </c>
      <c r="G131" s="20"/>
      <c r="H131" s="13">
        <v>255.4</v>
      </c>
      <c r="I131" s="20"/>
      <c r="J131" s="13"/>
    </row>
    <row r="132" spans="1:10" ht="168.75">
      <c r="A132" s="11" t="s">
        <v>90</v>
      </c>
      <c r="B132" s="11" t="s">
        <v>55</v>
      </c>
      <c r="C132" s="1" t="s">
        <v>56</v>
      </c>
      <c r="D132" s="5" t="s">
        <v>89</v>
      </c>
      <c r="E132" s="20">
        <v>41</v>
      </c>
      <c r="F132" s="13">
        <f t="shared" si="0"/>
        <v>41</v>
      </c>
      <c r="G132" s="20"/>
      <c r="H132" s="13"/>
      <c r="I132" s="20">
        <v>41</v>
      </c>
      <c r="J132" s="13"/>
    </row>
    <row r="133" spans="1:10" ht="37.5">
      <c r="A133" s="11" t="s">
        <v>450</v>
      </c>
      <c r="B133" s="11" t="s">
        <v>451</v>
      </c>
      <c r="C133" s="1" t="s">
        <v>56</v>
      </c>
      <c r="D133" s="39" t="s">
        <v>452</v>
      </c>
      <c r="E133" s="20">
        <v>14.74</v>
      </c>
      <c r="F133" s="13">
        <f>SUM(G133:J133)</f>
        <v>14.74</v>
      </c>
      <c r="G133" s="20"/>
      <c r="H133" s="13"/>
      <c r="I133" s="20">
        <v>14.74</v>
      </c>
      <c r="J133" s="13"/>
    </row>
    <row r="134" spans="1:10" ht="56.25">
      <c r="A134" s="11" t="s">
        <v>450</v>
      </c>
      <c r="B134" s="11" t="s">
        <v>449</v>
      </c>
      <c r="C134" s="1" t="s">
        <v>56</v>
      </c>
      <c r="D134" s="5" t="s">
        <v>448</v>
      </c>
      <c r="E134" s="20">
        <v>18.694</v>
      </c>
      <c r="F134" s="13">
        <f t="shared" si="0"/>
        <v>18.694</v>
      </c>
      <c r="G134" s="20"/>
      <c r="H134" s="13"/>
      <c r="I134" s="20">
        <v>18.694</v>
      </c>
      <c r="J134" s="13"/>
    </row>
    <row r="135" spans="1:10" s="2" customFormat="1" ht="18.75">
      <c r="A135" s="44" t="s">
        <v>15</v>
      </c>
      <c r="B135" s="44"/>
      <c r="C135" s="44"/>
      <c r="D135" s="44"/>
      <c r="E135" s="21">
        <f aca="true" t="shared" si="1" ref="E135:J135">SUM(E11:E134)</f>
        <v>1614.7248500000003</v>
      </c>
      <c r="F135" s="21">
        <f t="shared" si="1"/>
        <v>1862.95423</v>
      </c>
      <c r="G135" s="21">
        <f>SUM(G11:G134)</f>
        <v>584.65299</v>
      </c>
      <c r="H135" s="21">
        <f t="shared" si="1"/>
        <v>317.29324</v>
      </c>
      <c r="I135" s="21">
        <f t="shared" si="1"/>
        <v>961.008</v>
      </c>
      <c r="J135" s="21">
        <f t="shared" si="1"/>
        <v>0</v>
      </c>
    </row>
    <row r="136" spans="1:10" ht="18.75">
      <c r="A136" s="44" t="s">
        <v>12</v>
      </c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ht="75">
      <c r="A137" s="11" t="s">
        <v>91</v>
      </c>
      <c r="B137" s="15" t="s">
        <v>92</v>
      </c>
      <c r="C137" s="1">
        <v>3439711110</v>
      </c>
      <c r="D137" s="5" t="s">
        <v>57</v>
      </c>
      <c r="E137" s="20">
        <v>39.615</v>
      </c>
      <c r="F137" s="13">
        <f aca="true" t="shared" si="2" ref="F137:F146">SUM(G137:J137)</f>
        <v>39.615</v>
      </c>
      <c r="G137" s="20">
        <v>39.615</v>
      </c>
      <c r="H137" s="13"/>
      <c r="I137" s="20"/>
      <c r="J137" s="13"/>
    </row>
    <row r="138" spans="1:10" ht="75">
      <c r="A138" s="11" t="s">
        <v>250</v>
      </c>
      <c r="B138" s="15" t="s">
        <v>248</v>
      </c>
      <c r="C138" s="1">
        <v>31816235</v>
      </c>
      <c r="D138" s="5" t="s">
        <v>249</v>
      </c>
      <c r="E138" s="20">
        <f>694.19989-233.43457</f>
        <v>460.76532</v>
      </c>
      <c r="F138" s="13">
        <f t="shared" si="2"/>
        <v>460.76532</v>
      </c>
      <c r="G138" s="20">
        <f>66.5217+49.09162+33.06641+96.74047+28.54548</f>
        <v>273.96567999999996</v>
      </c>
      <c r="H138" s="13"/>
      <c r="I138" s="20">
        <v>186.79964</v>
      </c>
      <c r="J138" s="13"/>
    </row>
    <row r="139" spans="1:10" ht="112.5">
      <c r="A139" s="11" t="s">
        <v>251</v>
      </c>
      <c r="B139" s="15" t="s">
        <v>252</v>
      </c>
      <c r="C139" s="33">
        <v>2684220493</v>
      </c>
      <c r="D139" s="5" t="s">
        <v>253</v>
      </c>
      <c r="E139" s="20">
        <v>15</v>
      </c>
      <c r="F139" s="13">
        <f t="shared" si="2"/>
        <v>15</v>
      </c>
      <c r="G139" s="20">
        <v>15</v>
      </c>
      <c r="H139" s="13"/>
      <c r="I139" s="20"/>
      <c r="J139" s="13"/>
    </row>
    <row r="140" spans="1:10" ht="82.5" customHeight="1">
      <c r="A140" s="11" t="s">
        <v>318</v>
      </c>
      <c r="B140" s="15" t="s">
        <v>319</v>
      </c>
      <c r="C140" s="24">
        <v>1823916661</v>
      </c>
      <c r="D140" s="5" t="s">
        <v>317</v>
      </c>
      <c r="E140" s="20">
        <v>1.895</v>
      </c>
      <c r="F140" s="13">
        <f t="shared" si="2"/>
        <v>1.895</v>
      </c>
      <c r="G140" s="20">
        <v>1.895</v>
      </c>
      <c r="H140" s="13"/>
      <c r="I140" s="20"/>
      <c r="J140" s="13"/>
    </row>
    <row r="141" spans="1:10" ht="64.5" customHeight="1">
      <c r="A141" s="11" t="s">
        <v>426</v>
      </c>
      <c r="B141" s="15" t="s">
        <v>453</v>
      </c>
      <c r="C141" s="24">
        <v>2377308285</v>
      </c>
      <c r="D141" s="19" t="s">
        <v>427</v>
      </c>
      <c r="E141" s="20">
        <v>46.524</v>
      </c>
      <c r="F141" s="13">
        <f t="shared" si="2"/>
        <v>46.524</v>
      </c>
      <c r="G141" s="20">
        <v>46.524</v>
      </c>
      <c r="H141" s="13"/>
      <c r="I141" s="20"/>
      <c r="J141" s="13"/>
    </row>
    <row r="142" spans="1:10" ht="65.25" customHeight="1">
      <c r="A142" s="11" t="s">
        <v>469</v>
      </c>
      <c r="B142" s="15" t="s">
        <v>453</v>
      </c>
      <c r="C142" s="24">
        <v>2377308285</v>
      </c>
      <c r="D142" s="19" t="s">
        <v>470</v>
      </c>
      <c r="E142" s="20">
        <v>1.08</v>
      </c>
      <c r="F142" s="13">
        <f t="shared" si="2"/>
        <v>1.08</v>
      </c>
      <c r="G142" s="20"/>
      <c r="H142" s="13"/>
      <c r="I142" s="20">
        <v>1.08</v>
      </c>
      <c r="J142" s="13"/>
    </row>
    <row r="143" spans="1:10" ht="60" customHeight="1">
      <c r="A143" s="11" t="s">
        <v>521</v>
      </c>
      <c r="B143" s="15" t="s">
        <v>522</v>
      </c>
      <c r="C143" s="24">
        <v>31473689</v>
      </c>
      <c r="D143" s="19" t="s">
        <v>523</v>
      </c>
      <c r="E143" s="20">
        <v>5.02</v>
      </c>
      <c r="F143" s="13">
        <f t="shared" si="2"/>
        <v>5.02</v>
      </c>
      <c r="G143" s="20">
        <v>5.02</v>
      </c>
      <c r="H143" s="13"/>
      <c r="I143" s="20"/>
      <c r="J143" s="13"/>
    </row>
    <row r="144" spans="1:10" ht="58.5" customHeight="1">
      <c r="A144" s="11" t="s">
        <v>524</v>
      </c>
      <c r="B144" s="15" t="s">
        <v>526</v>
      </c>
      <c r="C144" s="24">
        <v>2126618602</v>
      </c>
      <c r="D144" s="19" t="s">
        <v>525</v>
      </c>
      <c r="E144" s="20">
        <v>4.95</v>
      </c>
      <c r="F144" s="13">
        <f t="shared" si="2"/>
        <v>3.1500000000000004</v>
      </c>
      <c r="G144" s="20">
        <f>0.99+2.16</f>
        <v>3.1500000000000004</v>
      </c>
      <c r="H144" s="13"/>
      <c r="I144" s="20"/>
      <c r="J144" s="13"/>
    </row>
    <row r="145" spans="1:10" ht="73.5" customHeight="1">
      <c r="A145" s="11" t="s">
        <v>559</v>
      </c>
      <c r="B145" s="15" t="s">
        <v>248</v>
      </c>
      <c r="C145" s="1">
        <v>31816235</v>
      </c>
      <c r="D145" s="19" t="s">
        <v>560</v>
      </c>
      <c r="E145" s="20">
        <v>119.83075</v>
      </c>
      <c r="F145" s="13">
        <f t="shared" si="2"/>
        <v>35.94057</v>
      </c>
      <c r="G145" s="20">
        <v>6.97979</v>
      </c>
      <c r="H145" s="13"/>
      <c r="I145" s="20">
        <v>28.96078</v>
      </c>
      <c r="J145" s="13"/>
    </row>
    <row r="146" spans="1:10" ht="73.5" customHeight="1">
      <c r="A146" s="11" t="s">
        <v>561</v>
      </c>
      <c r="B146" s="15" t="s">
        <v>248</v>
      </c>
      <c r="C146" s="1">
        <v>31816235</v>
      </c>
      <c r="D146" s="19" t="s">
        <v>562</v>
      </c>
      <c r="E146" s="20">
        <v>81.80178</v>
      </c>
      <c r="F146" s="13">
        <f t="shared" si="2"/>
        <v>17.267</v>
      </c>
      <c r="G146" s="20">
        <f>7.37292+9.89408</f>
        <v>17.267</v>
      </c>
      <c r="H146" s="13"/>
      <c r="I146" s="20"/>
      <c r="J146" s="13"/>
    </row>
    <row r="147" spans="1:10" ht="73.5" customHeight="1">
      <c r="A147" s="11" t="s">
        <v>567</v>
      </c>
      <c r="B147" s="11" t="s">
        <v>568</v>
      </c>
      <c r="C147" s="1">
        <v>19282260</v>
      </c>
      <c r="D147" s="25" t="s">
        <v>569</v>
      </c>
      <c r="E147" s="20">
        <v>1.40447</v>
      </c>
      <c r="F147" s="13">
        <f>SUM(G147:J147)</f>
        <v>1.40447</v>
      </c>
      <c r="G147" s="20"/>
      <c r="H147" s="13"/>
      <c r="I147" s="20">
        <v>1.40447</v>
      </c>
      <c r="J147" s="13"/>
    </row>
    <row r="148" spans="1:10" s="2" customFormat="1" ht="18.75">
      <c r="A148" s="44" t="s">
        <v>16</v>
      </c>
      <c r="B148" s="44"/>
      <c r="C148" s="44"/>
      <c r="D148" s="44"/>
      <c r="E148" s="21">
        <f aca="true" t="shared" si="3" ref="E148:J148">SUM(E137:E147)</f>
        <v>777.88632</v>
      </c>
      <c r="F148" s="21">
        <f t="shared" si="3"/>
        <v>627.66136</v>
      </c>
      <c r="G148" s="21">
        <f t="shared" si="3"/>
        <v>409.4164699999999</v>
      </c>
      <c r="H148" s="21">
        <f t="shared" si="3"/>
        <v>0</v>
      </c>
      <c r="I148" s="21">
        <f t="shared" si="3"/>
        <v>218.24489000000003</v>
      </c>
      <c r="J148" s="21">
        <f t="shared" si="3"/>
        <v>0</v>
      </c>
    </row>
    <row r="149" spans="1:10" ht="18.75">
      <c r="A149" s="44" t="s">
        <v>13</v>
      </c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75">
      <c r="A150" s="11" t="s">
        <v>100</v>
      </c>
      <c r="B150" s="11" t="s">
        <v>109</v>
      </c>
      <c r="C150" s="1">
        <v>39949597</v>
      </c>
      <c r="D150" s="25" t="s">
        <v>93</v>
      </c>
      <c r="E150" s="36">
        <v>9.6525</v>
      </c>
      <c r="F150" s="13">
        <f aca="true" t="shared" si="4" ref="F150:F209">SUM(G150:J150)</f>
        <v>9.6525</v>
      </c>
      <c r="G150" s="20">
        <f>2.97+2.97</f>
        <v>5.94</v>
      </c>
      <c r="H150" s="13"/>
      <c r="I150" s="20">
        <f>2.97+0.7425</f>
        <v>3.7125000000000004</v>
      </c>
      <c r="J150" s="13"/>
    </row>
    <row r="151" spans="1:10" ht="93.75">
      <c r="A151" s="11" t="s">
        <v>101</v>
      </c>
      <c r="B151" s="11" t="s">
        <v>109</v>
      </c>
      <c r="C151" s="1">
        <v>39949597</v>
      </c>
      <c r="D151" s="19" t="s">
        <v>94</v>
      </c>
      <c r="E151" s="36">
        <f>29.34+1.1736</f>
        <v>30.5136</v>
      </c>
      <c r="F151" s="13">
        <f t="shared" si="4"/>
        <v>30.5136</v>
      </c>
      <c r="G151" s="20">
        <f>3.52512+4.6944-0.00432+3.5208+7.0416</f>
        <v>18.7776</v>
      </c>
      <c r="H151" s="13"/>
      <c r="I151" s="20">
        <f>4.6944+7.0416</f>
        <v>11.736</v>
      </c>
      <c r="J151" s="13"/>
    </row>
    <row r="152" spans="1:10" ht="75">
      <c r="A152" s="11" t="s">
        <v>102</v>
      </c>
      <c r="B152" s="11" t="s">
        <v>109</v>
      </c>
      <c r="C152" s="1">
        <v>39949597</v>
      </c>
      <c r="D152" s="19" t="s">
        <v>95</v>
      </c>
      <c r="E152" s="36">
        <v>59.4</v>
      </c>
      <c r="F152" s="13">
        <f t="shared" si="4"/>
        <v>59.37738</v>
      </c>
      <c r="G152" s="20">
        <f>6.93+11.5433-5.77089+6.13453+7.88724</f>
        <v>26.724180000000004</v>
      </c>
      <c r="H152" s="13"/>
      <c r="I152" s="20">
        <f>13.864+13.87284-3.84726+8.76362</f>
        <v>32.6532</v>
      </c>
      <c r="J152" s="13"/>
    </row>
    <row r="153" spans="1:10" ht="75">
      <c r="A153" s="11" t="s">
        <v>103</v>
      </c>
      <c r="B153" s="11" t="s">
        <v>109</v>
      </c>
      <c r="C153" s="1">
        <v>39949597</v>
      </c>
      <c r="D153" s="28" t="s">
        <v>32</v>
      </c>
      <c r="E153" s="36">
        <f>449.5-58-0.32065-145.50877</f>
        <v>245.67058</v>
      </c>
      <c r="F153" s="13">
        <f t="shared" si="4"/>
        <v>245.67058</v>
      </c>
      <c r="G153" s="20">
        <f>8.7+14.5+29.76864+39.83284+32.6986+34.1849+17.8356</f>
        <v>177.52058</v>
      </c>
      <c r="H153" s="13"/>
      <c r="I153" s="20">
        <f>14.5+14.5+14.5+24.65</f>
        <v>68.15</v>
      </c>
      <c r="J153" s="13"/>
    </row>
    <row r="154" spans="1:10" ht="99" customHeight="1">
      <c r="A154" s="11" t="s">
        <v>104</v>
      </c>
      <c r="B154" s="11" t="s">
        <v>109</v>
      </c>
      <c r="C154" s="1">
        <v>39949597</v>
      </c>
      <c r="D154" s="24" t="s">
        <v>67</v>
      </c>
      <c r="E154" s="36">
        <v>19.995</v>
      </c>
      <c r="F154" s="13">
        <f t="shared" si="4"/>
        <v>19.994999999999997</v>
      </c>
      <c r="G154" s="20">
        <v>13.235</v>
      </c>
      <c r="H154" s="13"/>
      <c r="I154" s="20">
        <f>6.34+0.42</f>
        <v>6.76</v>
      </c>
      <c r="J154" s="13"/>
    </row>
    <row r="155" spans="1:10" ht="75">
      <c r="A155" s="11" t="s">
        <v>105</v>
      </c>
      <c r="B155" s="11" t="s">
        <v>109</v>
      </c>
      <c r="C155" s="1">
        <v>39949597</v>
      </c>
      <c r="D155" s="19" t="s">
        <v>96</v>
      </c>
      <c r="E155" s="36">
        <v>85.53822</v>
      </c>
      <c r="F155" s="13">
        <f t="shared" si="4"/>
        <v>85.53822</v>
      </c>
      <c r="G155" s="20">
        <f>9.913+2.486+2.38656+21.7364+9.02202+8.0796</f>
        <v>53.62358</v>
      </c>
      <c r="H155" s="13"/>
      <c r="I155" s="20">
        <f>3.84996+12.2586+10.02608+5.78</f>
        <v>31.914640000000002</v>
      </c>
      <c r="J155" s="13"/>
    </row>
    <row r="156" spans="1:10" ht="75">
      <c r="A156" s="11" t="s">
        <v>106</v>
      </c>
      <c r="B156" s="11" t="s">
        <v>109</v>
      </c>
      <c r="C156" s="1">
        <v>39949597</v>
      </c>
      <c r="D156" s="19" t="s">
        <v>97</v>
      </c>
      <c r="E156" s="36">
        <v>3.498</v>
      </c>
      <c r="F156" s="13">
        <f t="shared" si="4"/>
        <v>3.4979999999999998</v>
      </c>
      <c r="G156" s="20">
        <v>1.166</v>
      </c>
      <c r="H156" s="13"/>
      <c r="I156" s="20">
        <f>2.332</f>
        <v>2.332</v>
      </c>
      <c r="J156" s="13"/>
    </row>
    <row r="157" spans="1:10" ht="96" customHeight="1">
      <c r="A157" s="11" t="s">
        <v>107</v>
      </c>
      <c r="B157" s="11" t="s">
        <v>109</v>
      </c>
      <c r="C157" s="1">
        <v>39949597</v>
      </c>
      <c r="D157" s="19" t="s">
        <v>98</v>
      </c>
      <c r="E157" s="36">
        <v>283.3</v>
      </c>
      <c r="F157" s="13">
        <f t="shared" si="4"/>
        <v>283.34416</v>
      </c>
      <c r="G157" s="20"/>
      <c r="H157" s="13"/>
      <c r="I157" s="20">
        <f>132.316+11.553+139.47516</f>
        <v>283.34416</v>
      </c>
      <c r="J157" s="13"/>
    </row>
    <row r="158" spans="1:10" ht="112.5">
      <c r="A158" s="11" t="s">
        <v>108</v>
      </c>
      <c r="B158" s="11" t="s">
        <v>109</v>
      </c>
      <c r="C158" s="1">
        <v>39949597</v>
      </c>
      <c r="D158" s="19" t="s">
        <v>99</v>
      </c>
      <c r="E158" s="36">
        <v>833.4</v>
      </c>
      <c r="F158" s="13">
        <f t="shared" si="4"/>
        <v>687.46282</v>
      </c>
      <c r="G158" s="20">
        <f>22.76655+40.7303+70.002+53.01945+68.79355+24.7174+48.48225+51.57671+22.32879</f>
        <v>402.41700000000003</v>
      </c>
      <c r="H158" s="13"/>
      <c r="I158" s="20">
        <f>16.2525+51.8075+37.6467+26.9294+50.9505+26.6324+23.09052+51.7363</f>
        <v>285.04582</v>
      </c>
      <c r="J158" s="13"/>
    </row>
    <row r="159" spans="1:10" ht="75">
      <c r="A159" s="11" t="s">
        <v>172</v>
      </c>
      <c r="B159" s="11" t="s">
        <v>109</v>
      </c>
      <c r="C159" s="1">
        <v>39949597</v>
      </c>
      <c r="D159" s="19" t="s">
        <v>173</v>
      </c>
      <c r="E159" s="36">
        <f>708.9745-0.13004-0.0762-317.70557</f>
        <v>391.06269000000003</v>
      </c>
      <c r="F159" s="13">
        <f t="shared" si="4"/>
        <v>391.06271000000004</v>
      </c>
      <c r="G159" s="20">
        <f>7.07204+12.94818+59.64274+58.13297+61.06474+32.7924+20.759</f>
        <v>252.41207000000003</v>
      </c>
      <c r="H159" s="13"/>
      <c r="I159" s="20">
        <f>36.26794+58.87628+13.5213+29.98512</f>
        <v>138.65064</v>
      </c>
      <c r="J159" s="13"/>
    </row>
    <row r="160" spans="1:10" ht="75">
      <c r="A160" s="11" t="s">
        <v>174</v>
      </c>
      <c r="B160" s="11" t="s">
        <v>109</v>
      </c>
      <c r="C160" s="1">
        <v>39949597</v>
      </c>
      <c r="D160" s="19" t="s">
        <v>175</v>
      </c>
      <c r="E160" s="36">
        <v>6.4998</v>
      </c>
      <c r="F160" s="13">
        <f t="shared" si="4"/>
        <v>6.4998</v>
      </c>
      <c r="G160" s="20">
        <f>1.0833+1.4444+1.0833</f>
        <v>3.6109999999999998</v>
      </c>
      <c r="H160" s="13"/>
      <c r="I160" s="20">
        <f>1.4444+1.4444</f>
        <v>2.8888</v>
      </c>
      <c r="J160" s="13"/>
    </row>
    <row r="161" spans="1:10" ht="75">
      <c r="A161" s="11" t="s">
        <v>182</v>
      </c>
      <c r="B161" s="11" t="s">
        <v>109</v>
      </c>
      <c r="C161" s="1">
        <v>39949597</v>
      </c>
      <c r="D161" s="19" t="s">
        <v>183</v>
      </c>
      <c r="E161" s="36">
        <v>87.99</v>
      </c>
      <c r="F161" s="13">
        <f t="shared" si="4"/>
        <v>87.71000000000001</v>
      </c>
      <c r="G161" s="20">
        <f>12.5+25.174+5.72</f>
        <v>43.394</v>
      </c>
      <c r="H161" s="13"/>
      <c r="I161" s="20">
        <f>21.844+22.472</f>
        <v>44.316</v>
      </c>
      <c r="J161" s="13"/>
    </row>
    <row r="162" spans="1:10" ht="75">
      <c r="A162" s="11" t="s">
        <v>184</v>
      </c>
      <c r="B162" s="11" t="s">
        <v>109</v>
      </c>
      <c r="C162" s="1">
        <v>39949597</v>
      </c>
      <c r="D162" s="19" t="s">
        <v>185</v>
      </c>
      <c r="E162" s="36">
        <f>494.9-0.3264-0.16395-0.35265-193.09628</f>
        <v>300.96072000000004</v>
      </c>
      <c r="F162" s="13">
        <f t="shared" si="4"/>
        <v>300.96072000000004</v>
      </c>
      <c r="G162" s="20">
        <f>17.8+46.582+50.686+27.5068+52.72524+24.63188</f>
        <v>219.93192000000002</v>
      </c>
      <c r="H162" s="13"/>
      <c r="I162" s="20">
        <f>17.8+40.6856+22.5432</f>
        <v>81.0288</v>
      </c>
      <c r="J162" s="13"/>
    </row>
    <row r="163" spans="1:10" ht="75">
      <c r="A163" s="11" t="s">
        <v>178</v>
      </c>
      <c r="B163" s="11" t="s">
        <v>109</v>
      </c>
      <c r="C163" s="1">
        <v>39949597</v>
      </c>
      <c r="D163" s="19" t="s">
        <v>358</v>
      </c>
      <c r="E163" s="36">
        <f>590.445-0.09378-0.0727-0.0007-335.62258</f>
        <v>254.65523999999988</v>
      </c>
      <c r="F163" s="13">
        <f t="shared" si="4"/>
        <v>254.65524000000002</v>
      </c>
      <c r="G163" s="20">
        <f>13.40235+34.9162+47.5426+46.69684+31.4976+7.41987</f>
        <v>181.47546000000003</v>
      </c>
      <c r="H163" s="13"/>
      <c r="I163" s="20">
        <f>17.94585+26.65767+6.0928+22.48346</f>
        <v>73.17978</v>
      </c>
      <c r="J163" s="13"/>
    </row>
    <row r="164" spans="1:10" ht="75">
      <c r="A164" s="11" t="s">
        <v>186</v>
      </c>
      <c r="B164" s="11" t="s">
        <v>109</v>
      </c>
      <c r="C164" s="1">
        <v>39949597</v>
      </c>
      <c r="D164" s="19" t="s">
        <v>187</v>
      </c>
      <c r="E164" s="36">
        <f>237.6-0.25235-86.38413</f>
        <v>150.96352</v>
      </c>
      <c r="F164" s="13">
        <f t="shared" si="4"/>
        <v>150.97152</v>
      </c>
      <c r="G164" s="20">
        <f>9.504+25.68888+26.1932+23.812+10.51424+11.948</f>
        <v>107.66032000000001</v>
      </c>
      <c r="H164" s="13"/>
      <c r="I164" s="20">
        <f>19.008+12.3552+11.948</f>
        <v>43.3112</v>
      </c>
      <c r="J164" s="13"/>
    </row>
    <row r="165" spans="1:10" ht="75">
      <c r="A165" s="11" t="s">
        <v>176</v>
      </c>
      <c r="B165" s="11" t="s">
        <v>109</v>
      </c>
      <c r="C165" s="1">
        <v>39949597</v>
      </c>
      <c r="D165" s="19" t="s">
        <v>177</v>
      </c>
      <c r="E165" s="36">
        <v>194.6354</v>
      </c>
      <c r="F165" s="13">
        <f t="shared" si="4"/>
        <v>194.6354</v>
      </c>
      <c r="G165" s="20">
        <f>10.263+9.456+39.196+29.4466+51.4456+9.1088</f>
        <v>148.916</v>
      </c>
      <c r="H165" s="13"/>
      <c r="I165" s="20">
        <f>28.761+11.57+5.3884</f>
        <v>45.7194</v>
      </c>
      <c r="J165" s="13"/>
    </row>
    <row r="166" spans="1:10" ht="75">
      <c r="A166" s="11" t="s">
        <v>179</v>
      </c>
      <c r="B166" s="11" t="s">
        <v>180</v>
      </c>
      <c r="C166" s="1">
        <v>24447183</v>
      </c>
      <c r="D166" s="19" t="s">
        <v>181</v>
      </c>
      <c r="E166" s="36">
        <v>50.34</v>
      </c>
      <c r="F166" s="13">
        <f t="shared" si="4"/>
        <v>50.3399</v>
      </c>
      <c r="G166" s="20">
        <f>12.96367+13.23782</f>
        <v>26.20149</v>
      </c>
      <c r="H166" s="13"/>
      <c r="I166" s="20">
        <f>15.79482+8.34359</f>
        <v>24.13841</v>
      </c>
      <c r="J166" s="13"/>
    </row>
    <row r="167" spans="1:10" ht="75">
      <c r="A167" s="11" t="s">
        <v>188</v>
      </c>
      <c r="B167" s="11" t="s">
        <v>189</v>
      </c>
      <c r="C167" s="1">
        <v>2897322753</v>
      </c>
      <c r="D167" s="19" t="s">
        <v>190</v>
      </c>
      <c r="E167" s="36">
        <v>137.966</v>
      </c>
      <c r="F167" s="13">
        <f t="shared" si="4"/>
        <v>137.966</v>
      </c>
      <c r="G167" s="20">
        <f>27.3883+18.54345+13.81709</f>
        <v>59.74884</v>
      </c>
      <c r="H167" s="13"/>
      <c r="I167" s="20">
        <f>34.13634+26.66432+17.4165</f>
        <v>78.21715999999999</v>
      </c>
      <c r="J167" s="13"/>
    </row>
    <row r="168" spans="1:10" ht="75">
      <c r="A168" s="11" t="s">
        <v>284</v>
      </c>
      <c r="B168" s="11" t="s">
        <v>109</v>
      </c>
      <c r="C168" s="1">
        <v>39949597</v>
      </c>
      <c r="D168" s="19" t="s">
        <v>283</v>
      </c>
      <c r="E168" s="36">
        <v>78.24</v>
      </c>
      <c r="F168" s="13">
        <f t="shared" si="4"/>
        <v>78.24000000000001</v>
      </c>
      <c r="G168" s="20">
        <f>5.795+5.795+5.795</f>
        <v>17.384999999999998</v>
      </c>
      <c r="H168" s="13"/>
      <c r="I168" s="20">
        <f>15.5495+45.3055</f>
        <v>60.855000000000004</v>
      </c>
      <c r="J168" s="13"/>
    </row>
    <row r="169" spans="1:10" ht="75">
      <c r="A169" s="11" t="s">
        <v>285</v>
      </c>
      <c r="B169" s="11" t="s">
        <v>109</v>
      </c>
      <c r="C169" s="1">
        <v>39949597</v>
      </c>
      <c r="D169" s="19" t="s">
        <v>286</v>
      </c>
      <c r="E169" s="36">
        <v>51.4836</v>
      </c>
      <c r="F169" s="13">
        <f t="shared" si="4"/>
        <v>51.483599999999996</v>
      </c>
      <c r="G169" s="20">
        <f>9.911+21.7882+11.1704</f>
        <v>42.8696</v>
      </c>
      <c r="H169" s="13"/>
      <c r="I169" s="20">
        <f>6.667+1.947</f>
        <v>8.614</v>
      </c>
      <c r="J169" s="13"/>
    </row>
    <row r="170" spans="1:10" ht="114.75" customHeight="1">
      <c r="A170" s="11" t="s">
        <v>287</v>
      </c>
      <c r="B170" s="11" t="s">
        <v>109</v>
      </c>
      <c r="C170" s="1">
        <v>39949597</v>
      </c>
      <c r="D170" s="19" t="s">
        <v>288</v>
      </c>
      <c r="E170" s="36">
        <v>42.139</v>
      </c>
      <c r="F170" s="13">
        <f t="shared" si="4"/>
        <v>42.138999999999996</v>
      </c>
      <c r="G170" s="20">
        <f>8.934+8.934+22.633</f>
        <v>40.501</v>
      </c>
      <c r="H170" s="13"/>
      <c r="I170" s="20">
        <v>1.638</v>
      </c>
      <c r="J170" s="13"/>
    </row>
    <row r="171" spans="1:10" ht="56.25">
      <c r="A171" s="11" t="s">
        <v>254</v>
      </c>
      <c r="B171" s="11" t="s">
        <v>255</v>
      </c>
      <c r="C171" s="1">
        <v>2855615637</v>
      </c>
      <c r="D171" s="19" t="s">
        <v>256</v>
      </c>
      <c r="E171" s="36">
        <v>55.28</v>
      </c>
      <c r="F171" s="13">
        <f t="shared" si="4"/>
        <v>55.28</v>
      </c>
      <c r="G171" s="20">
        <f>34.55+20.73</f>
        <v>55.28</v>
      </c>
      <c r="H171" s="13"/>
      <c r="I171" s="20"/>
      <c r="J171" s="13"/>
    </row>
    <row r="172" spans="1:10" ht="75">
      <c r="A172" s="11" t="s">
        <v>289</v>
      </c>
      <c r="B172" s="11" t="s">
        <v>109</v>
      </c>
      <c r="C172" s="1">
        <v>39949597</v>
      </c>
      <c r="D172" s="19" t="s">
        <v>359</v>
      </c>
      <c r="E172" s="36">
        <v>5</v>
      </c>
      <c r="F172" s="13">
        <f t="shared" si="4"/>
        <v>4.95</v>
      </c>
      <c r="G172" s="20"/>
      <c r="H172" s="13"/>
      <c r="I172" s="20">
        <v>4.95</v>
      </c>
      <c r="J172" s="13"/>
    </row>
    <row r="173" spans="1:10" ht="97.5" customHeight="1">
      <c r="A173" s="11" t="s">
        <v>374</v>
      </c>
      <c r="B173" s="11" t="s">
        <v>375</v>
      </c>
      <c r="C173" s="1">
        <v>2798617232</v>
      </c>
      <c r="D173" s="19" t="s">
        <v>94</v>
      </c>
      <c r="E173" s="36">
        <v>29.97</v>
      </c>
      <c r="F173" s="13">
        <f t="shared" si="4"/>
        <v>22.7772</v>
      </c>
      <c r="G173" s="20">
        <f>9.5904+7.1928+5.994</f>
        <v>22.7772</v>
      </c>
      <c r="H173" s="13"/>
      <c r="I173" s="20"/>
      <c r="J173" s="13"/>
    </row>
    <row r="174" spans="1:10" ht="114" customHeight="1">
      <c r="A174" s="11" t="s">
        <v>376</v>
      </c>
      <c r="B174" s="11" t="s">
        <v>255</v>
      </c>
      <c r="C174" s="1">
        <v>2855615637</v>
      </c>
      <c r="D174" s="19" t="s">
        <v>377</v>
      </c>
      <c r="E174" s="36">
        <v>12.16</v>
      </c>
      <c r="F174" s="13">
        <f t="shared" si="4"/>
        <v>9.308399999999999</v>
      </c>
      <c r="G174" s="20">
        <v>5.712</v>
      </c>
      <c r="H174" s="13"/>
      <c r="I174" s="20">
        <v>3.5964</v>
      </c>
      <c r="J174" s="13"/>
    </row>
    <row r="175" spans="1:10" ht="97.5" customHeight="1">
      <c r="A175" s="11" t="s">
        <v>378</v>
      </c>
      <c r="B175" s="11" t="s">
        <v>375</v>
      </c>
      <c r="C175" s="1">
        <v>2798617232</v>
      </c>
      <c r="D175" s="19" t="s">
        <v>379</v>
      </c>
      <c r="E175" s="36">
        <v>30.2025</v>
      </c>
      <c r="F175" s="13">
        <f t="shared" si="4"/>
        <v>30.2025</v>
      </c>
      <c r="G175" s="20">
        <v>30.2025</v>
      </c>
      <c r="H175" s="13"/>
      <c r="I175" s="20"/>
      <c r="J175" s="13"/>
    </row>
    <row r="176" spans="1:10" ht="66" customHeight="1">
      <c r="A176" s="11" t="s">
        <v>428</v>
      </c>
      <c r="B176" s="11" t="s">
        <v>255</v>
      </c>
      <c r="C176" s="1">
        <v>2855615637</v>
      </c>
      <c r="D176" s="19" t="s">
        <v>429</v>
      </c>
      <c r="E176" s="36">
        <v>12.879</v>
      </c>
      <c r="F176" s="13">
        <f t="shared" si="4"/>
        <v>12.879</v>
      </c>
      <c r="G176" s="20">
        <v>12.879</v>
      </c>
      <c r="H176" s="13"/>
      <c r="I176" s="20"/>
      <c r="J176" s="13"/>
    </row>
    <row r="177" spans="1:10" ht="66" customHeight="1">
      <c r="A177" s="11" t="s">
        <v>471</v>
      </c>
      <c r="B177" s="11" t="s">
        <v>472</v>
      </c>
      <c r="C177" s="1">
        <v>3041908989</v>
      </c>
      <c r="D177" s="19" t="s">
        <v>473</v>
      </c>
      <c r="E177" s="36">
        <v>67.365</v>
      </c>
      <c r="F177" s="13">
        <f t="shared" si="4"/>
        <v>67.29634999999999</v>
      </c>
      <c r="G177" s="20">
        <f>10.33135+8.22+16.44</f>
        <v>34.99135</v>
      </c>
      <c r="H177" s="13"/>
      <c r="I177" s="20">
        <f>7.946+15.1248+9.2342</f>
        <v>32.305</v>
      </c>
      <c r="J177" s="13"/>
    </row>
    <row r="178" spans="1:10" ht="73.5" customHeight="1">
      <c r="A178" s="11" t="s">
        <v>474</v>
      </c>
      <c r="B178" s="11" t="s">
        <v>472</v>
      </c>
      <c r="C178" s="1">
        <v>3041908989</v>
      </c>
      <c r="D178" s="19" t="s">
        <v>475</v>
      </c>
      <c r="E178" s="36">
        <v>52.6</v>
      </c>
      <c r="F178" s="13">
        <f t="shared" si="4"/>
        <v>44.6776</v>
      </c>
      <c r="G178" s="20">
        <f>14.08+7.1456+9.537</f>
        <v>30.7626</v>
      </c>
      <c r="H178" s="13"/>
      <c r="I178" s="20">
        <f>4.785+9.13</f>
        <v>13.915000000000001</v>
      </c>
      <c r="J178" s="13"/>
    </row>
    <row r="179" spans="1:10" ht="81.75" customHeight="1">
      <c r="A179" s="11" t="s">
        <v>527</v>
      </c>
      <c r="B179" s="11" t="s">
        <v>517</v>
      </c>
      <c r="C179" s="1">
        <v>39625877</v>
      </c>
      <c r="D179" s="19" t="s">
        <v>175</v>
      </c>
      <c r="E179" s="36">
        <v>9.6</v>
      </c>
      <c r="F179" s="13">
        <f t="shared" si="4"/>
        <v>3.5999999999999996</v>
      </c>
      <c r="G179" s="20">
        <f>0.6+1.2+0.6</f>
        <v>2.4</v>
      </c>
      <c r="H179" s="13"/>
      <c r="I179" s="20">
        <f>0.6+0.6</f>
        <v>1.2</v>
      </c>
      <c r="J179" s="13"/>
    </row>
    <row r="180" spans="1:10" ht="67.5" customHeight="1">
      <c r="A180" s="11" t="s">
        <v>508</v>
      </c>
      <c r="B180" s="11" t="s">
        <v>603</v>
      </c>
      <c r="C180" s="1">
        <v>3381401180</v>
      </c>
      <c r="D180" s="19" t="s">
        <v>509</v>
      </c>
      <c r="E180" s="36">
        <v>7.56</v>
      </c>
      <c r="F180" s="13">
        <f t="shared" si="4"/>
        <v>7.56</v>
      </c>
      <c r="G180" s="20"/>
      <c r="H180" s="13"/>
      <c r="I180" s="20">
        <v>7.56</v>
      </c>
      <c r="J180" s="13"/>
    </row>
    <row r="181" spans="1:10" ht="76.5" customHeight="1">
      <c r="A181" s="11" t="s">
        <v>528</v>
      </c>
      <c r="B181" s="11" t="s">
        <v>530</v>
      </c>
      <c r="C181" s="1">
        <v>2286420593</v>
      </c>
      <c r="D181" s="19" t="s">
        <v>529</v>
      </c>
      <c r="E181" s="36">
        <v>15.57</v>
      </c>
      <c r="F181" s="13">
        <f t="shared" si="4"/>
        <v>5.6052</v>
      </c>
      <c r="G181" s="20">
        <f>3.7368+1.8684</f>
        <v>5.6052</v>
      </c>
      <c r="H181" s="13"/>
      <c r="I181" s="20"/>
      <c r="J181" s="13"/>
    </row>
    <row r="182" spans="1:10" ht="65.25" customHeight="1">
      <c r="A182" s="11" t="s">
        <v>532</v>
      </c>
      <c r="B182" s="11" t="s">
        <v>533</v>
      </c>
      <c r="C182" s="1">
        <v>3414807739</v>
      </c>
      <c r="D182" s="19" t="s">
        <v>531</v>
      </c>
      <c r="E182" s="36">
        <v>5.5</v>
      </c>
      <c r="F182" s="13">
        <f t="shared" si="4"/>
        <v>0.6985</v>
      </c>
      <c r="G182" s="20">
        <v>0.6985</v>
      </c>
      <c r="H182" s="13"/>
      <c r="I182" s="20"/>
      <c r="J182" s="13"/>
    </row>
    <row r="183" spans="1:10" ht="66" customHeight="1">
      <c r="A183" s="11" t="s">
        <v>534</v>
      </c>
      <c r="B183" s="11" t="s">
        <v>459</v>
      </c>
      <c r="C183" s="1">
        <v>2123814902</v>
      </c>
      <c r="D183" s="19" t="s">
        <v>97</v>
      </c>
      <c r="E183" s="36">
        <v>3.23</v>
      </c>
      <c r="F183" s="13">
        <f t="shared" si="4"/>
        <v>3.23</v>
      </c>
      <c r="G183" s="20">
        <v>3.23</v>
      </c>
      <c r="H183" s="13"/>
      <c r="I183" s="20"/>
      <c r="J183" s="13"/>
    </row>
    <row r="184" spans="1:10" ht="97.5" customHeight="1">
      <c r="A184" s="11" t="s">
        <v>535</v>
      </c>
      <c r="B184" s="11" t="s">
        <v>541</v>
      </c>
      <c r="C184" s="1">
        <v>38993915</v>
      </c>
      <c r="D184" s="19" t="s">
        <v>536</v>
      </c>
      <c r="E184" s="36">
        <v>159.06</v>
      </c>
      <c r="F184" s="13">
        <f t="shared" si="4"/>
        <v>93.50881000000001</v>
      </c>
      <c r="G184" s="20">
        <f>24.01128+24.52618+18.25974</f>
        <v>66.7972</v>
      </c>
      <c r="H184" s="13"/>
      <c r="I184" s="20">
        <f>8.15168+18.55993</f>
        <v>26.71161</v>
      </c>
      <c r="J184" s="13"/>
    </row>
    <row r="185" spans="1:10" ht="97.5" customHeight="1">
      <c r="A185" s="11" t="s">
        <v>537</v>
      </c>
      <c r="B185" s="11" t="s">
        <v>540</v>
      </c>
      <c r="C185" s="1">
        <v>38993915</v>
      </c>
      <c r="D185" s="19" t="s">
        <v>538</v>
      </c>
      <c r="E185" s="36">
        <v>146.874</v>
      </c>
      <c r="F185" s="13">
        <f t="shared" si="4"/>
        <v>55.68528</v>
      </c>
      <c r="G185" s="20">
        <f>20.18207+17.62577</f>
        <v>37.80784</v>
      </c>
      <c r="H185" s="13"/>
      <c r="I185" s="20">
        <f>4.851+13.02644</f>
        <v>17.87744</v>
      </c>
      <c r="J185" s="13"/>
    </row>
    <row r="186" spans="1:10" ht="93.75">
      <c r="A186" s="11" t="s">
        <v>45</v>
      </c>
      <c r="B186" s="11" t="s">
        <v>46</v>
      </c>
      <c r="C186" s="1" t="s">
        <v>47</v>
      </c>
      <c r="D186" s="5" t="s">
        <v>31</v>
      </c>
      <c r="E186" s="20">
        <v>53.8</v>
      </c>
      <c r="F186" s="13">
        <f t="shared" si="4"/>
        <v>53.82084</v>
      </c>
      <c r="G186" s="20">
        <f>26.22051+23.51223</f>
        <v>49.73274</v>
      </c>
      <c r="H186" s="13"/>
      <c r="I186" s="20">
        <v>4.0881</v>
      </c>
      <c r="J186" s="13"/>
    </row>
    <row r="187" spans="1:10" ht="75">
      <c r="A187" s="11" t="s">
        <v>539</v>
      </c>
      <c r="B187" s="11" t="s">
        <v>542</v>
      </c>
      <c r="C187" s="1">
        <v>37408070</v>
      </c>
      <c r="D187" s="5" t="s">
        <v>187</v>
      </c>
      <c r="E187" s="20">
        <v>97.2</v>
      </c>
      <c r="F187" s="13">
        <f t="shared" si="4"/>
        <v>40.64175</v>
      </c>
      <c r="G187" s="20">
        <f>7.29+16.51185+8.41995</f>
        <v>32.2218</v>
      </c>
      <c r="H187" s="13"/>
      <c r="I187" s="20">
        <f>8.41995</f>
        <v>8.41995</v>
      </c>
      <c r="J187" s="13"/>
    </row>
    <row r="188" spans="1:10" ht="100.5" customHeight="1">
      <c r="A188" s="11" t="s">
        <v>510</v>
      </c>
      <c r="B188" s="11" t="s">
        <v>511</v>
      </c>
      <c r="C188" s="1">
        <v>41033603</v>
      </c>
      <c r="D188" s="5" t="s">
        <v>512</v>
      </c>
      <c r="E188" s="20">
        <v>189.52</v>
      </c>
      <c r="F188" s="13">
        <f t="shared" si="4"/>
        <v>91.62879999999998</v>
      </c>
      <c r="G188" s="20">
        <f>8.5696+29.1696+19.776</f>
        <v>57.51519999999999</v>
      </c>
      <c r="H188" s="13"/>
      <c r="I188" s="20">
        <f>8.5696+25.544</f>
        <v>34.1136</v>
      </c>
      <c r="J188" s="13"/>
    </row>
    <row r="189" spans="1:10" ht="75">
      <c r="A189" s="11" t="s">
        <v>543</v>
      </c>
      <c r="B189" s="11" t="s">
        <v>511</v>
      </c>
      <c r="C189" s="1">
        <v>41033603</v>
      </c>
      <c r="D189" s="5" t="s">
        <v>544</v>
      </c>
      <c r="E189" s="20">
        <v>110</v>
      </c>
      <c r="F189" s="13">
        <f t="shared" si="4"/>
        <v>38.1018</v>
      </c>
      <c r="G189" s="20">
        <f>10.1508+27.951</f>
        <v>38.1018</v>
      </c>
      <c r="H189" s="13"/>
      <c r="I189" s="20"/>
      <c r="J189" s="13"/>
    </row>
    <row r="190" spans="1:10" ht="75">
      <c r="A190" s="11" t="s">
        <v>513</v>
      </c>
      <c r="B190" s="11" t="s">
        <v>514</v>
      </c>
      <c r="C190" s="1">
        <v>38197742</v>
      </c>
      <c r="D190" s="5" t="s">
        <v>515</v>
      </c>
      <c r="E190" s="20">
        <v>48</v>
      </c>
      <c r="F190" s="13">
        <f t="shared" si="4"/>
        <v>22.3227</v>
      </c>
      <c r="G190" s="20">
        <f>5.1526+8.2133</f>
        <v>13.3659</v>
      </c>
      <c r="H190" s="13"/>
      <c r="I190" s="20">
        <f>5.9408+3.016</f>
        <v>8.956800000000001</v>
      </c>
      <c r="J190" s="13"/>
    </row>
    <row r="191" spans="1:10" ht="75">
      <c r="A191" s="11" t="s">
        <v>34</v>
      </c>
      <c r="B191" s="11" t="s">
        <v>29</v>
      </c>
      <c r="C191" s="1">
        <v>34407781</v>
      </c>
      <c r="D191" s="5" t="s">
        <v>33</v>
      </c>
      <c r="E191" s="20">
        <v>32.986</v>
      </c>
      <c r="F191" s="13">
        <f t="shared" si="4"/>
        <v>32.9268</v>
      </c>
      <c r="G191" s="20">
        <v>9.564</v>
      </c>
      <c r="H191" s="13"/>
      <c r="I191" s="20">
        <f>37.7088-14.346</f>
        <v>23.362799999999996</v>
      </c>
      <c r="J191" s="13"/>
    </row>
    <row r="192" spans="1:10" ht="75">
      <c r="A192" s="11" t="s">
        <v>516</v>
      </c>
      <c r="B192" s="11" t="s">
        <v>517</v>
      </c>
      <c r="C192" s="1">
        <v>39625877</v>
      </c>
      <c r="D192" s="5" t="s">
        <v>518</v>
      </c>
      <c r="E192" s="20">
        <v>74.925</v>
      </c>
      <c r="F192" s="13">
        <f t="shared" si="4"/>
        <v>37.7622</v>
      </c>
      <c r="G192" s="20">
        <f>10.1898+6.5934</f>
        <v>16.7832</v>
      </c>
      <c r="H192" s="13"/>
      <c r="I192" s="20">
        <f>7.7922+6.5934+6.5934</f>
        <v>20.979</v>
      </c>
      <c r="J192" s="13"/>
    </row>
    <row r="193" spans="1:10" ht="75">
      <c r="A193" s="11" t="s">
        <v>570</v>
      </c>
      <c r="B193" s="11" t="s">
        <v>135</v>
      </c>
      <c r="C193" s="1">
        <v>2251605227</v>
      </c>
      <c r="D193" s="5" t="s">
        <v>571</v>
      </c>
      <c r="E193" s="20">
        <v>9.35</v>
      </c>
      <c r="F193" s="13">
        <f t="shared" si="4"/>
        <v>9.35</v>
      </c>
      <c r="G193" s="20">
        <v>9.35</v>
      </c>
      <c r="H193" s="13"/>
      <c r="I193" s="20"/>
      <c r="J193" s="13"/>
    </row>
    <row r="194" spans="1:10" ht="75">
      <c r="A194" s="11" t="s">
        <v>622</v>
      </c>
      <c r="B194" s="11" t="s">
        <v>135</v>
      </c>
      <c r="C194" s="1">
        <v>2251605227</v>
      </c>
      <c r="D194" s="5" t="s">
        <v>623</v>
      </c>
      <c r="E194" s="20">
        <v>3</v>
      </c>
      <c r="F194" s="13">
        <f t="shared" si="4"/>
        <v>3</v>
      </c>
      <c r="G194" s="20">
        <v>3</v>
      </c>
      <c r="H194" s="13"/>
      <c r="I194" s="20"/>
      <c r="J194" s="13"/>
    </row>
    <row r="195" spans="1:10" ht="93.75">
      <c r="A195" s="11" t="s">
        <v>48</v>
      </c>
      <c r="B195" s="11" t="s">
        <v>49</v>
      </c>
      <c r="C195" s="1" t="s">
        <v>50</v>
      </c>
      <c r="D195" s="5" t="s">
        <v>51</v>
      </c>
      <c r="E195" s="20">
        <v>39.1</v>
      </c>
      <c r="F195" s="13">
        <f t="shared" si="4"/>
        <v>37.94145</v>
      </c>
      <c r="G195" s="20">
        <f>11.19428</f>
        <v>11.19428</v>
      </c>
      <c r="H195" s="13"/>
      <c r="I195" s="20">
        <v>26.74717</v>
      </c>
      <c r="J195" s="13"/>
    </row>
    <row r="196" spans="1:10" ht="88.5" customHeight="1">
      <c r="A196" s="11" t="s">
        <v>602</v>
      </c>
      <c r="B196" s="11" t="s">
        <v>603</v>
      </c>
      <c r="C196" s="1">
        <v>3381401180</v>
      </c>
      <c r="D196" s="5" t="s">
        <v>604</v>
      </c>
      <c r="E196" s="20">
        <v>24.288</v>
      </c>
      <c r="F196" s="13">
        <f t="shared" si="4"/>
        <v>8.1972</v>
      </c>
      <c r="G196" s="20">
        <f>4.554</f>
        <v>4.554</v>
      </c>
      <c r="H196" s="13"/>
      <c r="I196" s="20">
        <v>3.6432</v>
      </c>
      <c r="J196" s="13"/>
    </row>
    <row r="197" spans="1:10" ht="116.25" customHeight="1">
      <c r="A197" s="11" t="s">
        <v>624</v>
      </c>
      <c r="B197" s="11" t="s">
        <v>625</v>
      </c>
      <c r="C197" s="1">
        <v>2543616535</v>
      </c>
      <c r="D197" s="5" t="s">
        <v>626</v>
      </c>
      <c r="E197" s="20">
        <v>8.69</v>
      </c>
      <c r="F197" s="13">
        <f t="shared" si="4"/>
        <v>8.69</v>
      </c>
      <c r="G197" s="20">
        <v>8.69</v>
      </c>
      <c r="H197" s="13"/>
      <c r="I197" s="20"/>
      <c r="J197" s="13"/>
    </row>
    <row r="198" spans="1:10" ht="135" customHeight="1">
      <c r="A198" s="11" t="s">
        <v>52</v>
      </c>
      <c r="B198" s="11" t="s">
        <v>29</v>
      </c>
      <c r="C198" s="1">
        <v>34407781</v>
      </c>
      <c r="D198" s="5" t="s">
        <v>53</v>
      </c>
      <c r="E198" s="20">
        <v>31.095</v>
      </c>
      <c r="F198" s="13">
        <f t="shared" si="4"/>
        <v>30.736359999999998</v>
      </c>
      <c r="G198" s="20">
        <v>9.7536</v>
      </c>
      <c r="H198" s="13"/>
      <c r="I198" s="20">
        <v>20.98276</v>
      </c>
      <c r="J198" s="13"/>
    </row>
    <row r="199" spans="1:10" ht="60" customHeight="1">
      <c r="A199" s="11" t="s">
        <v>605</v>
      </c>
      <c r="B199" s="11" t="s">
        <v>606</v>
      </c>
      <c r="C199" s="1">
        <v>2584003090</v>
      </c>
      <c r="D199" s="5" t="s">
        <v>607</v>
      </c>
      <c r="E199" s="20">
        <v>55.1</v>
      </c>
      <c r="F199" s="13">
        <f t="shared" si="4"/>
        <v>11.285</v>
      </c>
      <c r="G199" s="20"/>
      <c r="H199" s="13"/>
      <c r="I199" s="20">
        <v>11.285</v>
      </c>
      <c r="J199" s="13"/>
    </row>
    <row r="200" spans="1:10" ht="60" customHeight="1">
      <c r="A200" s="11" t="s">
        <v>608</v>
      </c>
      <c r="B200" s="11" t="s">
        <v>606</v>
      </c>
      <c r="C200" s="1">
        <v>2584003090</v>
      </c>
      <c r="D200" s="5" t="s">
        <v>609</v>
      </c>
      <c r="E200" s="20">
        <v>94.08</v>
      </c>
      <c r="F200" s="13">
        <f t="shared" si="4"/>
        <v>94.08</v>
      </c>
      <c r="G200" s="20"/>
      <c r="H200" s="13"/>
      <c r="I200" s="20">
        <v>94.08</v>
      </c>
      <c r="J200" s="13"/>
    </row>
    <row r="201" spans="1:10" ht="78.75" customHeight="1">
      <c r="A201" s="11" t="s">
        <v>610</v>
      </c>
      <c r="B201" s="11" t="s">
        <v>514</v>
      </c>
      <c r="C201" s="1">
        <v>38197742</v>
      </c>
      <c r="D201" s="5" t="s">
        <v>181</v>
      </c>
      <c r="E201" s="20">
        <v>42.212</v>
      </c>
      <c r="F201" s="13">
        <f t="shared" si="4"/>
        <v>7.06368</v>
      </c>
      <c r="G201" s="20"/>
      <c r="H201" s="13"/>
      <c r="I201" s="20">
        <v>7.06368</v>
      </c>
      <c r="J201" s="13"/>
    </row>
    <row r="202" spans="1:10" ht="78.75" customHeight="1">
      <c r="A202" s="11" t="s">
        <v>611</v>
      </c>
      <c r="B202" s="11" t="s">
        <v>613</v>
      </c>
      <c r="C202" s="1">
        <v>2222806608</v>
      </c>
      <c r="D202" s="5" t="s">
        <v>612</v>
      </c>
      <c r="E202" s="20">
        <v>17.68995</v>
      </c>
      <c r="F202" s="13">
        <f t="shared" si="4"/>
        <v>5.57779</v>
      </c>
      <c r="G202" s="20"/>
      <c r="H202" s="13"/>
      <c r="I202" s="20">
        <v>5.57779</v>
      </c>
      <c r="J202" s="13"/>
    </row>
    <row r="203" spans="1:10" ht="118.5" customHeight="1">
      <c r="A203" s="11" t="s">
        <v>614</v>
      </c>
      <c r="B203" s="11" t="s">
        <v>613</v>
      </c>
      <c r="C203" s="1">
        <v>2222806608</v>
      </c>
      <c r="D203" s="5" t="s">
        <v>615</v>
      </c>
      <c r="E203" s="20">
        <v>8.6334</v>
      </c>
      <c r="F203" s="13">
        <f t="shared" si="4"/>
        <v>2.10122</v>
      </c>
      <c r="G203" s="20"/>
      <c r="H203" s="13"/>
      <c r="I203" s="20">
        <v>2.10122</v>
      </c>
      <c r="J203" s="13"/>
    </row>
    <row r="204" spans="1:10" ht="93.75">
      <c r="A204" s="11" t="s">
        <v>58</v>
      </c>
      <c r="B204" s="11" t="s">
        <v>49</v>
      </c>
      <c r="C204" s="1" t="s">
        <v>50</v>
      </c>
      <c r="D204" s="5" t="s">
        <v>59</v>
      </c>
      <c r="E204" s="20">
        <v>35.3925</v>
      </c>
      <c r="F204" s="13">
        <f t="shared" si="4"/>
        <v>35.3925</v>
      </c>
      <c r="G204" s="20">
        <v>9.1476</v>
      </c>
      <c r="H204" s="13"/>
      <c r="I204" s="20">
        <v>26.2449</v>
      </c>
      <c r="J204" s="13"/>
    </row>
    <row r="205" spans="1:10" ht="100.5" customHeight="1">
      <c r="A205" s="16" t="s">
        <v>430</v>
      </c>
      <c r="B205" s="11" t="s">
        <v>432</v>
      </c>
      <c r="C205" s="12" t="s">
        <v>431</v>
      </c>
      <c r="D205" s="5" t="s">
        <v>325</v>
      </c>
      <c r="E205" s="20">
        <v>1.60272</v>
      </c>
      <c r="F205" s="13">
        <f t="shared" si="4"/>
        <v>1.60272</v>
      </c>
      <c r="G205" s="20">
        <v>1.60272</v>
      </c>
      <c r="H205" s="13"/>
      <c r="I205" s="20"/>
      <c r="J205" s="13"/>
    </row>
    <row r="206" spans="1:10" ht="100.5" customHeight="1">
      <c r="A206" s="11" t="s">
        <v>545</v>
      </c>
      <c r="B206" s="11" t="s">
        <v>546</v>
      </c>
      <c r="C206" s="12" t="s">
        <v>547</v>
      </c>
      <c r="D206" s="5" t="s">
        <v>325</v>
      </c>
      <c r="E206" s="20">
        <v>0.34506</v>
      </c>
      <c r="F206" s="13">
        <f t="shared" si="4"/>
        <v>0.34506</v>
      </c>
      <c r="G206" s="20">
        <v>0.34506</v>
      </c>
      <c r="H206" s="13"/>
      <c r="I206" s="20"/>
      <c r="J206" s="13"/>
    </row>
    <row r="207" spans="1:10" ht="100.5" customHeight="1">
      <c r="A207" s="11" t="s">
        <v>218</v>
      </c>
      <c r="B207" s="11" t="s">
        <v>42</v>
      </c>
      <c r="C207" s="1" t="s">
        <v>113</v>
      </c>
      <c r="D207" s="5" t="s">
        <v>219</v>
      </c>
      <c r="E207" s="20" t="s">
        <v>56</v>
      </c>
      <c r="F207" s="13">
        <f t="shared" si="4"/>
        <v>418.83607</v>
      </c>
      <c r="G207" s="20"/>
      <c r="H207" s="13">
        <f>225.51128+193.32479</f>
        <v>418.83607</v>
      </c>
      <c r="I207" s="20"/>
      <c r="J207" s="13"/>
    </row>
    <row r="208" spans="1:10" ht="75">
      <c r="A208" s="11" t="s">
        <v>296</v>
      </c>
      <c r="B208" s="11" t="s">
        <v>135</v>
      </c>
      <c r="C208" s="1">
        <v>2251605227</v>
      </c>
      <c r="D208" s="5" t="s">
        <v>295</v>
      </c>
      <c r="E208" s="20">
        <f>1.025+0.385</f>
        <v>1.41</v>
      </c>
      <c r="F208" s="13">
        <f t="shared" si="4"/>
        <v>1.41</v>
      </c>
      <c r="G208" s="20"/>
      <c r="H208" s="13"/>
      <c r="I208" s="20">
        <f>1.025+0.385</f>
        <v>1.41</v>
      </c>
      <c r="J208" s="13"/>
    </row>
    <row r="209" spans="1:10" ht="93.75">
      <c r="A209" s="11" t="s">
        <v>112</v>
      </c>
      <c r="B209" s="11" t="s">
        <v>110</v>
      </c>
      <c r="C209" s="12" t="s">
        <v>113</v>
      </c>
      <c r="D209" s="5" t="s">
        <v>111</v>
      </c>
      <c r="E209" s="20" t="s">
        <v>56</v>
      </c>
      <c r="F209" s="13">
        <f t="shared" si="4"/>
        <v>-0.42242999999999997</v>
      </c>
      <c r="G209" s="20"/>
      <c r="H209" s="13"/>
      <c r="I209" s="20">
        <f>-0.19672-0.17631-0.0494</f>
        <v>-0.42242999999999997</v>
      </c>
      <c r="J209" s="13"/>
    </row>
    <row r="210" spans="1:10" s="2" customFormat="1" ht="18.75">
      <c r="A210" s="44" t="s">
        <v>17</v>
      </c>
      <c r="B210" s="44"/>
      <c r="C210" s="44"/>
      <c r="D210" s="44"/>
      <c r="E210" s="21">
        <f aca="true" t="shared" si="5" ref="E210:J210">SUM(E150:E209)</f>
        <v>4909.173999999999</v>
      </c>
      <c r="F210" s="14">
        <f t="shared" si="5"/>
        <v>4581.3665</v>
      </c>
      <c r="G210" s="14">
        <f t="shared" si="5"/>
        <v>2427.5759299999986</v>
      </c>
      <c r="H210" s="14">
        <f t="shared" si="5"/>
        <v>418.83607</v>
      </c>
      <c r="I210" s="14">
        <f t="shared" si="5"/>
        <v>1734.9545</v>
      </c>
      <c r="J210" s="14">
        <f t="shared" si="5"/>
        <v>0</v>
      </c>
    </row>
    <row r="211" spans="1:10" ht="18.75">
      <c r="A211" s="44" t="s">
        <v>14</v>
      </c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ht="56.25">
      <c r="A212" s="16" t="s">
        <v>198</v>
      </c>
      <c r="B212" s="15" t="s">
        <v>199</v>
      </c>
      <c r="C212" s="5">
        <v>3158004825</v>
      </c>
      <c r="D212" s="5" t="s">
        <v>200</v>
      </c>
      <c r="E212" s="20">
        <v>3.7</v>
      </c>
      <c r="F212" s="13">
        <f aca="true" t="shared" si="6" ref="F212:F236">SUM(G212:J212)</f>
        <v>3.7</v>
      </c>
      <c r="G212" s="1">
        <v>3.7</v>
      </c>
      <c r="H212" s="29"/>
      <c r="I212" s="29"/>
      <c r="J212" s="29"/>
    </row>
    <row r="213" spans="1:10" ht="66" customHeight="1">
      <c r="A213" s="16" t="s">
        <v>114</v>
      </c>
      <c r="B213" s="15" t="s">
        <v>41</v>
      </c>
      <c r="C213" s="1">
        <v>2708008658</v>
      </c>
      <c r="D213" s="15" t="s">
        <v>115</v>
      </c>
      <c r="E213" s="20">
        <f>1.8+0.6</f>
        <v>2.4</v>
      </c>
      <c r="F213" s="13">
        <f t="shared" si="6"/>
        <v>1.9</v>
      </c>
      <c r="G213" s="20">
        <f>0.15+0.15+0.15+0.15+0.15+0.15+0.25+0.25+0.25+0.25</f>
        <v>1.9</v>
      </c>
      <c r="H213" s="13"/>
      <c r="I213" s="20"/>
      <c r="J213" s="13"/>
    </row>
    <row r="214" spans="1:10" ht="131.25">
      <c r="A214" s="16" t="s">
        <v>116</v>
      </c>
      <c r="B214" s="15" t="s">
        <v>60</v>
      </c>
      <c r="C214" s="1">
        <v>34317049</v>
      </c>
      <c r="D214" s="15" t="s">
        <v>66</v>
      </c>
      <c r="E214" s="20">
        <v>29.95</v>
      </c>
      <c r="F214" s="13">
        <f t="shared" si="6"/>
        <v>19.9</v>
      </c>
      <c r="G214" s="20">
        <f>5.8+5.8+5.8+2.5</f>
        <v>19.9</v>
      </c>
      <c r="H214" s="13"/>
      <c r="I214" s="20"/>
      <c r="J214" s="13"/>
    </row>
    <row r="215" spans="1:10" ht="156.75" customHeight="1">
      <c r="A215" s="16" t="s">
        <v>263</v>
      </c>
      <c r="B215" s="15" t="s">
        <v>60</v>
      </c>
      <c r="C215" s="1">
        <v>34317049</v>
      </c>
      <c r="D215" s="15" t="s">
        <v>264</v>
      </c>
      <c r="E215" s="20">
        <v>29.73084</v>
      </c>
      <c r="F215" s="13">
        <f t="shared" si="6"/>
        <v>29.73084</v>
      </c>
      <c r="G215" s="20">
        <v>29.73084</v>
      </c>
      <c r="H215" s="13"/>
      <c r="I215" s="20"/>
      <c r="J215" s="13"/>
    </row>
    <row r="216" spans="1:10" ht="80.25" customHeight="1">
      <c r="A216" s="16" t="s">
        <v>117</v>
      </c>
      <c r="B216" s="15" t="s">
        <v>63</v>
      </c>
      <c r="C216" s="1">
        <v>3022714173</v>
      </c>
      <c r="D216" s="15" t="s">
        <v>433</v>
      </c>
      <c r="E216" s="20">
        <f>2.3+2.94+3.6+11.1</f>
        <v>19.939999999999998</v>
      </c>
      <c r="F216" s="13">
        <f t="shared" si="6"/>
        <v>19.939999999999998</v>
      </c>
      <c r="G216" s="20">
        <f>2.3+2.94+3.6+11.1</f>
        <v>19.939999999999998</v>
      </c>
      <c r="H216" s="13"/>
      <c r="I216" s="20"/>
      <c r="J216" s="13"/>
    </row>
    <row r="217" spans="1:10" ht="61.5" customHeight="1">
      <c r="A217" s="16" t="s">
        <v>118</v>
      </c>
      <c r="B217" s="15" t="s">
        <v>36</v>
      </c>
      <c r="C217" s="1">
        <v>33794989</v>
      </c>
      <c r="D217" s="15" t="s">
        <v>35</v>
      </c>
      <c r="E217" s="20">
        <f>8.107+1.398+1.83+1.273</f>
        <v>12.607999999999999</v>
      </c>
      <c r="F217" s="13">
        <f t="shared" si="6"/>
        <v>12.608</v>
      </c>
      <c r="G217" s="20">
        <f>1.725+0.323+0.805+1.518+1.896+1.84+1.398+1.83+1.273</f>
        <v>12.608</v>
      </c>
      <c r="H217" s="13"/>
      <c r="I217" s="20"/>
      <c r="J217" s="13"/>
    </row>
    <row r="218" spans="1:10" ht="136.5" customHeight="1">
      <c r="A218" s="16" t="s">
        <v>201</v>
      </c>
      <c r="B218" s="15" t="s">
        <v>202</v>
      </c>
      <c r="C218" s="1">
        <v>2270622150</v>
      </c>
      <c r="D218" s="15" t="s">
        <v>203</v>
      </c>
      <c r="E218" s="20">
        <v>0.857</v>
      </c>
      <c r="F218" s="13">
        <f t="shared" si="6"/>
        <v>0.857</v>
      </c>
      <c r="G218" s="20">
        <v>0.857</v>
      </c>
      <c r="H218" s="13"/>
      <c r="I218" s="20"/>
      <c r="J218" s="13"/>
    </row>
    <row r="219" spans="1:10" ht="96.75" customHeight="1">
      <c r="A219" s="16" t="s">
        <v>204</v>
      </c>
      <c r="B219" s="15" t="s">
        <v>205</v>
      </c>
      <c r="C219" s="1">
        <v>2006722</v>
      </c>
      <c r="D219" s="15" t="s">
        <v>206</v>
      </c>
      <c r="E219" s="20">
        <v>18.834</v>
      </c>
      <c r="F219" s="13">
        <f t="shared" si="6"/>
        <v>18.096</v>
      </c>
      <c r="G219" s="20">
        <f>4.476+2.264+6.296+5.06</f>
        <v>18.096</v>
      </c>
      <c r="H219" s="13"/>
      <c r="I219" s="20"/>
      <c r="J219" s="13"/>
    </row>
    <row r="220" spans="1:10" ht="101.25" customHeight="1">
      <c r="A220" s="16" t="s">
        <v>208</v>
      </c>
      <c r="B220" s="15" t="s">
        <v>207</v>
      </c>
      <c r="C220" s="1">
        <v>2420200094</v>
      </c>
      <c r="D220" s="15" t="s">
        <v>209</v>
      </c>
      <c r="E220" s="20">
        <v>17.25</v>
      </c>
      <c r="F220" s="13">
        <f t="shared" si="6"/>
        <v>17.25</v>
      </c>
      <c r="G220" s="20">
        <f>2.1+3.52+2.96+6.2+2.47</f>
        <v>17.25</v>
      </c>
      <c r="H220" s="13"/>
      <c r="I220" s="20"/>
      <c r="J220" s="13"/>
    </row>
    <row r="221" spans="1:10" ht="156.75" customHeight="1">
      <c r="A221" s="16" t="s">
        <v>210</v>
      </c>
      <c r="B221" s="15" t="s">
        <v>211</v>
      </c>
      <c r="C221" s="1">
        <v>2352716515</v>
      </c>
      <c r="D221" s="15" t="s">
        <v>212</v>
      </c>
      <c r="E221" s="20">
        <v>29.75</v>
      </c>
      <c r="F221" s="13">
        <f t="shared" si="6"/>
        <v>29.75</v>
      </c>
      <c r="G221" s="20">
        <v>29.75</v>
      </c>
      <c r="H221" s="13"/>
      <c r="I221" s="20"/>
      <c r="J221" s="13"/>
    </row>
    <row r="222" spans="1:10" ht="138" customHeight="1">
      <c r="A222" s="16" t="s">
        <v>213</v>
      </c>
      <c r="B222" s="15" t="s">
        <v>214</v>
      </c>
      <c r="C222" s="1">
        <v>2686905992</v>
      </c>
      <c r="D222" s="15" t="s">
        <v>215</v>
      </c>
      <c r="E222" s="20">
        <v>3.084</v>
      </c>
      <c r="F222" s="13">
        <f t="shared" si="6"/>
        <v>3.084</v>
      </c>
      <c r="G222" s="20">
        <v>3.084</v>
      </c>
      <c r="H222" s="13"/>
      <c r="I222" s="20"/>
      <c r="J222" s="13"/>
    </row>
    <row r="223" spans="1:10" ht="58.5" customHeight="1">
      <c r="A223" s="16" t="s">
        <v>268</v>
      </c>
      <c r="B223" s="15" t="s">
        <v>265</v>
      </c>
      <c r="C223" s="1" t="s">
        <v>266</v>
      </c>
      <c r="D223" s="15" t="s">
        <v>267</v>
      </c>
      <c r="E223" s="20">
        <v>3.02454</v>
      </c>
      <c r="F223" s="13">
        <f t="shared" si="6"/>
        <v>1.9764899999999999</v>
      </c>
      <c r="G223" s="20">
        <f>0.29705+0.14829+0.1371+0.0651+0.20003+0.25906+0.25046+0.18447+0.25046+0.18447</f>
        <v>1.9764899999999999</v>
      </c>
      <c r="H223" s="13"/>
      <c r="I223" s="20"/>
      <c r="J223" s="13"/>
    </row>
    <row r="224" spans="1:10" ht="171.75" customHeight="1">
      <c r="A224" s="16" t="s">
        <v>260</v>
      </c>
      <c r="B224" s="15" t="s">
        <v>262</v>
      </c>
      <c r="C224" s="31">
        <v>3136109907</v>
      </c>
      <c r="D224" s="15" t="s">
        <v>261</v>
      </c>
      <c r="E224" s="20">
        <f>21.89+16.75+8.21+9.52</f>
        <v>56.370000000000005</v>
      </c>
      <c r="F224" s="13">
        <f t="shared" si="6"/>
        <v>56.370000000000005</v>
      </c>
      <c r="G224" s="20">
        <f>16.41+5.48+16.75+8.21+9.52</f>
        <v>56.370000000000005</v>
      </c>
      <c r="H224" s="13"/>
      <c r="I224" s="20"/>
      <c r="J224" s="13"/>
    </row>
    <row r="225" spans="1:10" ht="120" customHeight="1">
      <c r="A225" s="16" t="s">
        <v>326</v>
      </c>
      <c r="B225" s="15" t="s">
        <v>328</v>
      </c>
      <c r="C225" s="34">
        <v>38285000</v>
      </c>
      <c r="D225" s="15" t="s">
        <v>327</v>
      </c>
      <c r="E225" s="20">
        <v>1.539</v>
      </c>
      <c r="F225" s="13">
        <f t="shared" si="6"/>
        <v>1.539</v>
      </c>
      <c r="G225" s="20">
        <v>1.539</v>
      </c>
      <c r="H225" s="13"/>
      <c r="I225" s="20"/>
      <c r="J225" s="13"/>
    </row>
    <row r="226" spans="1:10" ht="163.5" customHeight="1">
      <c r="A226" s="16" t="s">
        <v>332</v>
      </c>
      <c r="B226" s="15" t="s">
        <v>334</v>
      </c>
      <c r="C226" s="34">
        <v>25222813</v>
      </c>
      <c r="D226" s="15" t="s">
        <v>333</v>
      </c>
      <c r="E226" s="20">
        <v>1.80581</v>
      </c>
      <c r="F226" s="13">
        <f t="shared" si="6"/>
        <v>1.80581</v>
      </c>
      <c r="G226" s="20">
        <v>1.80581</v>
      </c>
      <c r="H226" s="13"/>
      <c r="I226" s="20"/>
      <c r="J226" s="13"/>
    </row>
    <row r="227" spans="1:10" ht="221.25" customHeight="1">
      <c r="A227" s="16" t="s">
        <v>633</v>
      </c>
      <c r="B227" s="15" t="s">
        <v>635</v>
      </c>
      <c r="C227" s="34">
        <v>40277858</v>
      </c>
      <c r="D227" s="15" t="s">
        <v>634</v>
      </c>
      <c r="E227" s="20">
        <v>12.24</v>
      </c>
      <c r="F227" s="13">
        <f t="shared" si="6"/>
        <v>0.369</v>
      </c>
      <c r="G227" s="20">
        <v>0.369</v>
      </c>
      <c r="H227" s="13"/>
      <c r="I227" s="20"/>
      <c r="J227" s="13"/>
    </row>
    <row r="228" spans="1:10" ht="122.25" customHeight="1">
      <c r="A228" s="16" t="s">
        <v>636</v>
      </c>
      <c r="B228" s="15" t="s">
        <v>638</v>
      </c>
      <c r="C228" s="34">
        <v>34910091</v>
      </c>
      <c r="D228" s="15" t="s">
        <v>637</v>
      </c>
      <c r="E228" s="20">
        <v>2.6</v>
      </c>
      <c r="F228" s="13">
        <f t="shared" si="6"/>
        <v>2.6</v>
      </c>
      <c r="G228" s="20">
        <v>2.6</v>
      </c>
      <c r="H228" s="13"/>
      <c r="I228" s="20"/>
      <c r="J228" s="13"/>
    </row>
    <row r="229" spans="1:10" ht="103.5" customHeight="1">
      <c r="A229" s="16" t="s">
        <v>336</v>
      </c>
      <c r="B229" s="15" t="s">
        <v>337</v>
      </c>
      <c r="C229" s="1">
        <v>2580410511</v>
      </c>
      <c r="D229" s="15" t="s">
        <v>335</v>
      </c>
      <c r="E229" s="20">
        <f>12.145+2.24+9.282</f>
        <v>23.667</v>
      </c>
      <c r="F229" s="13">
        <f t="shared" si="6"/>
        <v>23.667</v>
      </c>
      <c r="G229" s="20">
        <f>12.145+2.24+9.282</f>
        <v>23.667</v>
      </c>
      <c r="H229" s="13"/>
      <c r="I229" s="20"/>
      <c r="J229" s="13"/>
    </row>
    <row r="230" spans="1:10" ht="96" customHeight="1">
      <c r="A230" s="16" t="s">
        <v>119</v>
      </c>
      <c r="B230" s="15" t="s">
        <v>37</v>
      </c>
      <c r="C230" s="1">
        <v>2307300</v>
      </c>
      <c r="D230" s="19" t="s">
        <v>120</v>
      </c>
      <c r="E230" s="20">
        <v>0.7344</v>
      </c>
      <c r="F230" s="13">
        <f t="shared" si="6"/>
        <v>0.7344</v>
      </c>
      <c r="G230" s="20">
        <v>0.7344</v>
      </c>
      <c r="H230" s="13"/>
      <c r="I230" s="20"/>
      <c r="J230" s="13"/>
    </row>
    <row r="231" spans="1:10" ht="194.25" customHeight="1">
      <c r="A231" s="16" t="s">
        <v>195</v>
      </c>
      <c r="B231" s="15" t="s">
        <v>196</v>
      </c>
      <c r="C231" s="1">
        <v>38461727</v>
      </c>
      <c r="D231" s="5" t="s">
        <v>197</v>
      </c>
      <c r="E231" s="20">
        <f>2.38992+2.38992+2.38992</f>
        <v>7.16976</v>
      </c>
      <c r="F231" s="13">
        <f t="shared" si="6"/>
        <v>7.16976</v>
      </c>
      <c r="G231" s="20">
        <f>2.38992+2.38992+2.38992</f>
        <v>7.16976</v>
      </c>
      <c r="H231" s="13"/>
      <c r="I231" s="20"/>
      <c r="J231" s="13"/>
    </row>
    <row r="232" spans="1:10" ht="194.25" customHeight="1">
      <c r="A232" s="16" t="s">
        <v>548</v>
      </c>
      <c r="B232" s="15" t="s">
        <v>196</v>
      </c>
      <c r="C232" s="1">
        <v>38461727</v>
      </c>
      <c r="D232" s="5" t="s">
        <v>197</v>
      </c>
      <c r="E232" s="20">
        <v>1.01052</v>
      </c>
      <c r="F232" s="13">
        <f t="shared" si="6"/>
        <v>1.01052</v>
      </c>
      <c r="G232" s="20">
        <v>1.01052</v>
      </c>
      <c r="H232" s="13"/>
      <c r="I232" s="20"/>
      <c r="J232" s="13"/>
    </row>
    <row r="233" spans="1:10" ht="157.5" customHeight="1">
      <c r="A233" s="16" t="s">
        <v>549</v>
      </c>
      <c r="B233" s="15" t="s">
        <v>550</v>
      </c>
      <c r="C233" s="1">
        <v>2997523274</v>
      </c>
      <c r="D233" s="5" t="s">
        <v>551</v>
      </c>
      <c r="E233" s="20">
        <v>3.5</v>
      </c>
      <c r="F233" s="13">
        <f t="shared" si="6"/>
        <v>2.0999999999999996</v>
      </c>
      <c r="G233" s="20">
        <f>0.7+0.7+0.7</f>
        <v>2.0999999999999996</v>
      </c>
      <c r="H233" s="13"/>
      <c r="I233" s="20"/>
      <c r="J233" s="13"/>
    </row>
    <row r="234" spans="1:10" ht="174.75" customHeight="1">
      <c r="A234" s="16" t="s">
        <v>639</v>
      </c>
      <c r="B234" s="15" t="s">
        <v>550</v>
      </c>
      <c r="C234" s="1">
        <v>2997523274</v>
      </c>
      <c r="D234" s="5" t="s">
        <v>640</v>
      </c>
      <c r="E234" s="20">
        <v>12.85</v>
      </c>
      <c r="F234" s="13">
        <f t="shared" si="6"/>
        <v>12.85</v>
      </c>
      <c r="G234" s="20">
        <v>12.85</v>
      </c>
      <c r="H234" s="13"/>
      <c r="I234" s="20"/>
      <c r="J234" s="13"/>
    </row>
    <row r="235" spans="1:10" ht="115.5" customHeight="1">
      <c r="A235" s="16" t="s">
        <v>552</v>
      </c>
      <c r="B235" s="41" t="s">
        <v>553</v>
      </c>
      <c r="C235" s="1">
        <v>23794860</v>
      </c>
      <c r="D235" s="5" t="s">
        <v>554</v>
      </c>
      <c r="E235" s="20">
        <v>4.9584</v>
      </c>
      <c r="F235" s="13">
        <f t="shared" si="6"/>
        <v>4.9584</v>
      </c>
      <c r="G235" s="20">
        <v>4.9584</v>
      </c>
      <c r="H235" s="13"/>
      <c r="I235" s="20"/>
      <c r="J235" s="13"/>
    </row>
    <row r="236" spans="1:10" ht="134.25" customHeight="1">
      <c r="A236" s="16" t="s">
        <v>191</v>
      </c>
      <c r="B236" s="15" t="s">
        <v>192</v>
      </c>
      <c r="C236" s="1">
        <v>3080911610</v>
      </c>
      <c r="D236" s="19" t="s">
        <v>193</v>
      </c>
      <c r="E236" s="20">
        <v>6.55</v>
      </c>
      <c r="F236" s="13">
        <f t="shared" si="6"/>
        <v>6.55</v>
      </c>
      <c r="G236" s="20">
        <v>6.55</v>
      </c>
      <c r="H236" s="13"/>
      <c r="I236" s="20"/>
      <c r="J236" s="13"/>
    </row>
    <row r="237" spans="1:10" ht="134.25" customHeight="1">
      <c r="A237" s="16" t="s">
        <v>194</v>
      </c>
      <c r="B237" s="15" t="s">
        <v>192</v>
      </c>
      <c r="C237" s="1">
        <v>3080911610</v>
      </c>
      <c r="D237" s="19" t="s">
        <v>193</v>
      </c>
      <c r="E237" s="20">
        <v>6.55</v>
      </c>
      <c r="F237" s="13">
        <f aca="true" t="shared" si="7" ref="F237:F256">SUM(G237:J237)</f>
        <v>6.55</v>
      </c>
      <c r="G237" s="20">
        <v>6.55</v>
      </c>
      <c r="H237" s="13"/>
      <c r="I237" s="20"/>
      <c r="J237" s="13"/>
    </row>
    <row r="238" spans="1:10" ht="130.5" customHeight="1">
      <c r="A238" s="16" t="s">
        <v>320</v>
      </c>
      <c r="B238" s="15" t="s">
        <v>192</v>
      </c>
      <c r="C238" s="1">
        <v>3080911610</v>
      </c>
      <c r="D238" s="19" t="s">
        <v>193</v>
      </c>
      <c r="E238" s="20">
        <v>6.55</v>
      </c>
      <c r="F238" s="13">
        <f t="shared" si="7"/>
        <v>6.55</v>
      </c>
      <c r="G238" s="20">
        <v>6.55</v>
      </c>
      <c r="H238" s="13"/>
      <c r="I238" s="20"/>
      <c r="J238" s="13"/>
    </row>
    <row r="239" spans="1:10" ht="132.75" customHeight="1">
      <c r="A239" s="16" t="s">
        <v>321</v>
      </c>
      <c r="B239" s="15" t="s">
        <v>192</v>
      </c>
      <c r="C239" s="1">
        <v>3080911610</v>
      </c>
      <c r="D239" s="19" t="s">
        <v>193</v>
      </c>
      <c r="E239" s="20">
        <v>6.55</v>
      </c>
      <c r="F239" s="13">
        <f t="shared" si="7"/>
        <v>6.55</v>
      </c>
      <c r="G239" s="20">
        <v>6.55</v>
      </c>
      <c r="H239" s="13"/>
      <c r="I239" s="20"/>
      <c r="J239" s="13"/>
    </row>
    <row r="240" spans="1:10" ht="111.75" customHeight="1">
      <c r="A240" s="16" t="s">
        <v>338</v>
      </c>
      <c r="B240" s="15" t="s">
        <v>339</v>
      </c>
      <c r="C240" s="1">
        <v>20501483</v>
      </c>
      <c r="D240" s="19" t="s">
        <v>340</v>
      </c>
      <c r="E240" s="20">
        <v>4.93571</v>
      </c>
      <c r="F240" s="13">
        <f t="shared" si="7"/>
        <v>4.93571</v>
      </c>
      <c r="G240" s="20">
        <v>4.93571</v>
      </c>
      <c r="H240" s="13"/>
      <c r="I240" s="20"/>
      <c r="J240" s="13"/>
    </row>
    <row r="241" spans="1:10" ht="111.75" customHeight="1">
      <c r="A241" s="16" t="s">
        <v>390</v>
      </c>
      <c r="B241" s="15" t="s">
        <v>391</v>
      </c>
      <c r="C241" s="1">
        <v>32114325</v>
      </c>
      <c r="D241" s="19" t="s">
        <v>392</v>
      </c>
      <c r="E241" s="20">
        <v>4.058</v>
      </c>
      <c r="F241" s="13">
        <f t="shared" si="7"/>
        <v>0.992</v>
      </c>
      <c r="G241" s="20">
        <f>0.992</f>
        <v>0.992</v>
      </c>
      <c r="H241" s="13"/>
      <c r="I241" s="20"/>
      <c r="J241" s="13"/>
    </row>
    <row r="242" spans="1:10" ht="67.5" customHeight="1">
      <c r="A242" s="16" t="s">
        <v>360</v>
      </c>
      <c r="B242" s="15" t="s">
        <v>361</v>
      </c>
      <c r="C242" s="12" t="s">
        <v>362</v>
      </c>
      <c r="D242" s="19" t="s">
        <v>363</v>
      </c>
      <c r="E242" s="20">
        <v>10.82363</v>
      </c>
      <c r="F242" s="13">
        <f t="shared" si="7"/>
        <v>7.399290000000001</v>
      </c>
      <c r="G242" s="20">
        <f>1.56619+2.40875+1.5662+0.92907+0.92908</f>
        <v>7.399290000000001</v>
      </c>
      <c r="H242" s="13"/>
      <c r="I242" s="20"/>
      <c r="J242" s="13"/>
    </row>
    <row r="243" spans="1:10" ht="82.5" customHeight="1">
      <c r="A243" s="16" t="s">
        <v>367</v>
      </c>
      <c r="B243" s="15" t="s">
        <v>270</v>
      </c>
      <c r="C243" s="1">
        <v>23881078</v>
      </c>
      <c r="D243" s="19" t="s">
        <v>368</v>
      </c>
      <c r="E243" s="20">
        <v>6.56136</v>
      </c>
      <c r="F243" s="13">
        <f t="shared" si="7"/>
        <v>4.9210199999999995</v>
      </c>
      <c r="G243" s="20">
        <f>3.28068+1.64034</f>
        <v>4.9210199999999995</v>
      </c>
      <c r="H243" s="13"/>
      <c r="I243" s="20"/>
      <c r="J243" s="13"/>
    </row>
    <row r="244" spans="1:10" ht="152.25" customHeight="1">
      <c r="A244" s="16" t="s">
        <v>369</v>
      </c>
      <c r="B244" s="15" t="s">
        <v>370</v>
      </c>
      <c r="C244" s="1">
        <v>38362163</v>
      </c>
      <c r="D244" s="19" t="s">
        <v>371</v>
      </c>
      <c r="E244" s="20">
        <v>24.5</v>
      </c>
      <c r="F244" s="13">
        <f t="shared" si="7"/>
        <v>24.5</v>
      </c>
      <c r="G244" s="20">
        <v>24.5</v>
      </c>
      <c r="H244" s="13"/>
      <c r="I244" s="20"/>
      <c r="J244" s="13"/>
    </row>
    <row r="245" spans="1:10" ht="231.75" customHeight="1">
      <c r="A245" s="16" t="s">
        <v>373</v>
      </c>
      <c r="B245" s="15" t="s">
        <v>370</v>
      </c>
      <c r="C245" s="1">
        <v>38362163</v>
      </c>
      <c r="D245" s="19" t="s">
        <v>372</v>
      </c>
      <c r="E245" s="20">
        <v>9.51</v>
      </c>
      <c r="F245" s="13">
        <f t="shared" si="7"/>
        <v>9.51</v>
      </c>
      <c r="G245" s="20">
        <v>9.51</v>
      </c>
      <c r="H245" s="13"/>
      <c r="I245" s="20"/>
      <c r="J245" s="13"/>
    </row>
    <row r="246" spans="1:10" ht="192.75" customHeight="1">
      <c r="A246" s="16" t="s">
        <v>627</v>
      </c>
      <c r="B246" s="15" t="s">
        <v>628</v>
      </c>
      <c r="C246" s="1">
        <v>3125007694</v>
      </c>
      <c r="D246" s="19" t="s">
        <v>629</v>
      </c>
      <c r="E246" s="20">
        <v>0.9</v>
      </c>
      <c r="F246" s="13">
        <f t="shared" si="7"/>
        <v>0.9</v>
      </c>
      <c r="G246" s="20">
        <v>0.9</v>
      </c>
      <c r="H246" s="13"/>
      <c r="I246" s="20"/>
      <c r="J246" s="13"/>
    </row>
    <row r="247" spans="1:10" ht="192.75" customHeight="1">
      <c r="A247" s="16" t="s">
        <v>632</v>
      </c>
      <c r="B247" s="15" t="s">
        <v>631</v>
      </c>
      <c r="C247" s="1">
        <v>36865753</v>
      </c>
      <c r="D247" s="43" t="s">
        <v>630</v>
      </c>
      <c r="E247" s="20">
        <v>0.438</v>
      </c>
      <c r="F247" s="13">
        <f t="shared" si="7"/>
        <v>0.438</v>
      </c>
      <c r="G247" s="20">
        <v>0.438</v>
      </c>
      <c r="H247" s="13"/>
      <c r="I247" s="20"/>
      <c r="J247" s="13"/>
    </row>
    <row r="248" spans="1:10" ht="191.25" customHeight="1">
      <c r="A248" s="16" t="s">
        <v>574</v>
      </c>
      <c r="B248" s="15" t="s">
        <v>573</v>
      </c>
      <c r="C248" s="1">
        <v>36277024</v>
      </c>
      <c r="D248" s="25" t="s">
        <v>575</v>
      </c>
      <c r="E248" s="20">
        <v>0.78</v>
      </c>
      <c r="F248" s="13">
        <f t="shared" si="7"/>
        <v>0.78</v>
      </c>
      <c r="G248" s="20">
        <v>0.78</v>
      </c>
      <c r="H248" s="13"/>
      <c r="I248" s="20"/>
      <c r="J248" s="13"/>
    </row>
    <row r="249" spans="1:10" ht="136.5" customHeight="1">
      <c r="A249" s="16" t="s">
        <v>216</v>
      </c>
      <c r="B249" s="15" t="s">
        <v>37</v>
      </c>
      <c r="C249" s="1">
        <v>2307300</v>
      </c>
      <c r="D249" s="19" t="s">
        <v>217</v>
      </c>
      <c r="E249" s="20">
        <v>4.01958</v>
      </c>
      <c r="F249" s="13">
        <f t="shared" si="7"/>
        <v>4.01958</v>
      </c>
      <c r="G249" s="20">
        <v>4.01958</v>
      </c>
      <c r="H249" s="13"/>
      <c r="I249" s="20"/>
      <c r="J249" s="13"/>
    </row>
    <row r="250" spans="1:10" ht="135" customHeight="1">
      <c r="A250" s="16" t="s">
        <v>271</v>
      </c>
      <c r="B250" s="15" t="s">
        <v>270</v>
      </c>
      <c r="C250" s="1">
        <v>23881078</v>
      </c>
      <c r="D250" s="19" t="s">
        <v>269</v>
      </c>
      <c r="E250" s="20">
        <v>29.97</v>
      </c>
      <c r="F250" s="13">
        <f t="shared" si="7"/>
        <v>29.97</v>
      </c>
      <c r="G250" s="20">
        <f>8.991+20.979</f>
        <v>29.97</v>
      </c>
      <c r="H250" s="13"/>
      <c r="I250" s="20"/>
      <c r="J250" s="13"/>
    </row>
    <row r="251" spans="1:10" ht="97.5" customHeight="1">
      <c r="A251" s="16" t="s">
        <v>322</v>
      </c>
      <c r="B251" s="11" t="s">
        <v>323</v>
      </c>
      <c r="C251" s="1" t="s">
        <v>324</v>
      </c>
      <c r="D251" s="5" t="s">
        <v>325</v>
      </c>
      <c r="E251" s="20">
        <v>0.39809</v>
      </c>
      <c r="F251" s="13">
        <f t="shared" si="7"/>
        <v>0.39809</v>
      </c>
      <c r="G251" s="20">
        <v>0.39809</v>
      </c>
      <c r="H251" s="13"/>
      <c r="I251" s="20"/>
      <c r="J251" s="13"/>
    </row>
    <row r="252" spans="1:10" ht="177" customHeight="1">
      <c r="A252" s="16" t="s">
        <v>329</v>
      </c>
      <c r="B252" s="11" t="s">
        <v>331</v>
      </c>
      <c r="C252" s="1">
        <v>39958735</v>
      </c>
      <c r="D252" s="5" t="s">
        <v>330</v>
      </c>
      <c r="E252" s="20">
        <v>6.4</v>
      </c>
      <c r="F252" s="13">
        <f t="shared" si="7"/>
        <v>6.4</v>
      </c>
      <c r="G252" s="20">
        <v>6.4</v>
      </c>
      <c r="H252" s="13"/>
      <c r="I252" s="20"/>
      <c r="J252" s="13"/>
    </row>
    <row r="253" spans="1:10" ht="111" customHeight="1">
      <c r="A253" s="16" t="s">
        <v>438</v>
      </c>
      <c r="B253" s="11" t="s">
        <v>439</v>
      </c>
      <c r="C253" s="12" t="s">
        <v>440</v>
      </c>
      <c r="D253" s="5" t="s">
        <v>441</v>
      </c>
      <c r="E253" s="20">
        <v>0.85751</v>
      </c>
      <c r="F253" s="13">
        <f t="shared" si="7"/>
        <v>0.85751</v>
      </c>
      <c r="G253" s="20">
        <v>0.85751</v>
      </c>
      <c r="H253" s="13"/>
      <c r="I253" s="20"/>
      <c r="J253" s="13"/>
    </row>
    <row r="254" spans="1:10" ht="139.5" customHeight="1">
      <c r="A254" s="16" t="s">
        <v>445</v>
      </c>
      <c r="B254" s="11" t="s">
        <v>442</v>
      </c>
      <c r="C254" s="12" t="s">
        <v>443</v>
      </c>
      <c r="D254" s="5" t="s">
        <v>444</v>
      </c>
      <c r="E254" s="20">
        <v>1.34425</v>
      </c>
      <c r="F254" s="13">
        <f t="shared" si="7"/>
        <v>1.34425</v>
      </c>
      <c r="G254" s="20">
        <v>1.34425</v>
      </c>
      <c r="H254" s="13"/>
      <c r="I254" s="20"/>
      <c r="J254" s="13"/>
    </row>
    <row r="255" spans="1:10" ht="60" customHeight="1">
      <c r="A255" s="16" t="s">
        <v>257</v>
      </c>
      <c r="B255" s="15" t="s">
        <v>258</v>
      </c>
      <c r="C255" s="1">
        <v>21560766</v>
      </c>
      <c r="D255" s="5" t="s">
        <v>259</v>
      </c>
      <c r="E255" s="20">
        <v>8</v>
      </c>
      <c r="F255" s="13">
        <f t="shared" si="7"/>
        <v>6.287470000000001</v>
      </c>
      <c r="G255" s="20">
        <f>2.5529+0.78912+0.75662+0.67172+0.51775+0.33312+0.33312+0.33312</f>
        <v>6.287470000000001</v>
      </c>
      <c r="H255" s="13"/>
      <c r="I255" s="20"/>
      <c r="J255" s="13"/>
    </row>
    <row r="256" spans="1:10" ht="84" customHeight="1">
      <c r="A256" s="16" t="s">
        <v>364</v>
      </c>
      <c r="B256" s="15" t="s">
        <v>365</v>
      </c>
      <c r="C256" s="1">
        <v>41477040</v>
      </c>
      <c r="D256" s="5" t="s">
        <v>366</v>
      </c>
      <c r="E256" s="20">
        <v>34.24378</v>
      </c>
      <c r="F256" s="13">
        <f t="shared" si="7"/>
        <v>-4.32391</v>
      </c>
      <c r="G256" s="20">
        <f>-2.80181-1.7327+0.2106</f>
        <v>-4.32391</v>
      </c>
      <c r="H256" s="13"/>
      <c r="I256" s="20"/>
      <c r="J256" s="13"/>
    </row>
    <row r="257" spans="1:10" ht="82.5" customHeight="1">
      <c r="A257" s="16" t="s">
        <v>39</v>
      </c>
      <c r="B257" s="15" t="s">
        <v>38</v>
      </c>
      <c r="C257" s="1">
        <v>35924440</v>
      </c>
      <c r="D257" s="15" t="s">
        <v>40</v>
      </c>
      <c r="E257" s="20">
        <v>31.1</v>
      </c>
      <c r="F257" s="13">
        <f>SUM(G257:J257)</f>
        <v>-3.61517</v>
      </c>
      <c r="G257" s="20">
        <f>1.47686-5.09203</f>
        <v>-3.61517</v>
      </c>
      <c r="H257" s="13"/>
      <c r="I257" s="20"/>
      <c r="J257" s="13"/>
    </row>
    <row r="258" spans="1:10" s="2" customFormat="1" ht="18.75">
      <c r="A258" s="44" t="s">
        <v>18</v>
      </c>
      <c r="B258" s="44"/>
      <c r="C258" s="44"/>
      <c r="D258" s="44"/>
      <c r="E258" s="21">
        <f aca="true" t="shared" si="8" ref="E258:J258">SUM(E212:E257)</f>
        <v>504.6131799999999</v>
      </c>
      <c r="F258" s="14">
        <f t="shared" si="8"/>
        <v>395.88006</v>
      </c>
      <c r="G258" s="14">
        <f t="shared" si="8"/>
        <v>395.88006</v>
      </c>
      <c r="H258" s="14">
        <f t="shared" si="8"/>
        <v>0</v>
      </c>
      <c r="I258" s="14">
        <f t="shared" si="8"/>
        <v>0</v>
      </c>
      <c r="J258" s="14">
        <f t="shared" si="8"/>
        <v>0</v>
      </c>
    </row>
    <row r="259" spans="1:10" s="2" customFormat="1" ht="18.75">
      <c r="A259" s="44" t="s">
        <v>290</v>
      </c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ht="138" customHeight="1">
      <c r="A260" s="5" t="s">
        <v>292</v>
      </c>
      <c r="B260" s="5" t="s">
        <v>294</v>
      </c>
      <c r="C260" s="5">
        <v>41272101</v>
      </c>
      <c r="D260" s="5" t="s">
        <v>293</v>
      </c>
      <c r="E260" s="20">
        <v>34.77996</v>
      </c>
      <c r="F260" s="13">
        <f>SUM(G260:J260)</f>
        <v>34.77996</v>
      </c>
      <c r="G260" s="13"/>
      <c r="H260" s="13"/>
      <c r="I260" s="13">
        <v>34.77996</v>
      </c>
      <c r="J260" s="13"/>
    </row>
    <row r="261" spans="1:10" ht="117" customHeight="1">
      <c r="A261" s="5" t="s">
        <v>476</v>
      </c>
      <c r="B261" s="5" t="s">
        <v>477</v>
      </c>
      <c r="C261" s="5">
        <v>13835261</v>
      </c>
      <c r="D261" s="5" t="s">
        <v>478</v>
      </c>
      <c r="E261" s="20">
        <v>31.5</v>
      </c>
      <c r="F261" s="13">
        <f>SUM(G261:J261)</f>
        <v>31.5</v>
      </c>
      <c r="G261" s="13"/>
      <c r="H261" s="13"/>
      <c r="I261" s="13">
        <v>31.5</v>
      </c>
      <c r="J261" s="13"/>
    </row>
    <row r="262" spans="1:10" ht="96.75" customHeight="1">
      <c r="A262" s="5" t="s">
        <v>519</v>
      </c>
      <c r="B262" s="5" t="s">
        <v>564</v>
      </c>
      <c r="C262" s="5">
        <v>39404429</v>
      </c>
      <c r="D262" s="5" t="s">
        <v>520</v>
      </c>
      <c r="E262" s="20">
        <v>117.72</v>
      </c>
      <c r="F262" s="13">
        <f>SUM(G262:J262)</f>
        <v>117.72</v>
      </c>
      <c r="G262" s="13"/>
      <c r="H262" s="13"/>
      <c r="I262" s="13">
        <v>117.72</v>
      </c>
      <c r="J262" s="13"/>
    </row>
    <row r="263" spans="1:10" ht="96.75" customHeight="1">
      <c r="A263" s="5" t="s">
        <v>563</v>
      </c>
      <c r="B263" s="5" t="s">
        <v>565</v>
      </c>
      <c r="C263" s="5">
        <v>3142416547</v>
      </c>
      <c r="D263" s="5" t="s">
        <v>566</v>
      </c>
      <c r="E263" s="20">
        <v>7.37</v>
      </c>
      <c r="F263" s="13">
        <f>SUM(G263:J263)</f>
        <v>7.37</v>
      </c>
      <c r="G263" s="13"/>
      <c r="H263" s="13">
        <v>7.37</v>
      </c>
      <c r="I263" s="13"/>
      <c r="J263" s="13"/>
    </row>
    <row r="264" spans="1:10" ht="178.5" customHeight="1">
      <c r="A264" s="11" t="s">
        <v>447</v>
      </c>
      <c r="B264" s="11" t="s">
        <v>55</v>
      </c>
      <c r="C264" s="1" t="s">
        <v>56</v>
      </c>
      <c r="D264" s="5" t="s">
        <v>446</v>
      </c>
      <c r="E264" s="20">
        <v>24.06039</v>
      </c>
      <c r="F264" s="13">
        <f>SUM(G264:J264)</f>
        <v>24.06039</v>
      </c>
      <c r="G264" s="20"/>
      <c r="H264" s="13"/>
      <c r="I264" s="20">
        <v>24.06039</v>
      </c>
      <c r="J264" s="13"/>
    </row>
    <row r="265" spans="1:10" s="2" customFormat="1" ht="30.75" customHeight="1">
      <c r="A265" s="44" t="s">
        <v>291</v>
      </c>
      <c r="B265" s="44"/>
      <c r="C265" s="44"/>
      <c r="D265" s="44"/>
      <c r="E265" s="21">
        <f>SUM(E260:E264)</f>
        <v>215.43035</v>
      </c>
      <c r="F265" s="21">
        <f>SUM(F260:F264)</f>
        <v>215.43035</v>
      </c>
      <c r="G265" s="21">
        <f>SUM(G260:G264)</f>
        <v>0</v>
      </c>
      <c r="H265" s="21">
        <f>SUM(H260:H264)</f>
        <v>7.37</v>
      </c>
      <c r="I265" s="21">
        <f>SUM(I260:I264)</f>
        <v>208.06035</v>
      </c>
      <c r="J265" s="14">
        <f>SUM(J260)</f>
        <v>0</v>
      </c>
    </row>
    <row r="266" spans="1:10" s="7" customFormat="1" ht="27" customHeight="1">
      <c r="A266" s="49" t="s">
        <v>19</v>
      </c>
      <c r="B266" s="49"/>
      <c r="C266" s="49"/>
      <c r="D266" s="49"/>
      <c r="E266" s="37">
        <f aca="true" t="shared" si="9" ref="E266:J266">E258+E210+E148+E135+E265</f>
        <v>8021.828699999999</v>
      </c>
      <c r="F266" s="18">
        <f t="shared" si="9"/>
        <v>7683.2925000000005</v>
      </c>
      <c r="G266" s="18">
        <f t="shared" si="9"/>
        <v>3817.5254499999987</v>
      </c>
      <c r="H266" s="18">
        <f t="shared" si="9"/>
        <v>743.49931</v>
      </c>
      <c r="I266" s="18">
        <f t="shared" si="9"/>
        <v>3122.2677400000002</v>
      </c>
      <c r="J266" s="18">
        <f t="shared" si="9"/>
        <v>0</v>
      </c>
    </row>
    <row r="268" spans="1:10" s="7" customFormat="1" ht="20.25">
      <c r="A268" s="6" t="s">
        <v>23</v>
      </c>
      <c r="B268" s="6"/>
      <c r="C268" s="6"/>
      <c r="E268" s="48"/>
      <c r="F268" s="48"/>
      <c r="G268" s="22"/>
      <c r="H268" s="8"/>
      <c r="I268" s="48" t="s">
        <v>64</v>
      </c>
      <c r="J268" s="48"/>
    </row>
    <row r="269" spans="1:10" s="7" customFormat="1" ht="20.25">
      <c r="A269" s="6"/>
      <c r="B269" s="6"/>
      <c r="C269" s="6"/>
      <c r="E269" s="22"/>
      <c r="F269" s="8"/>
      <c r="G269" s="22"/>
      <c r="H269" s="8"/>
      <c r="I269" s="22"/>
      <c r="J269" s="8"/>
    </row>
    <row r="270" spans="1:10" s="7" customFormat="1" ht="20.25">
      <c r="A270" s="50" t="s">
        <v>24</v>
      </c>
      <c r="B270" s="50"/>
      <c r="C270" s="50"/>
      <c r="E270" s="22"/>
      <c r="F270" s="8"/>
      <c r="G270" s="22"/>
      <c r="H270" s="8"/>
      <c r="I270" s="48" t="s">
        <v>54</v>
      </c>
      <c r="J270" s="48"/>
    </row>
    <row r="271" spans="1:10" ht="18.75">
      <c r="A271" s="47" t="s">
        <v>43</v>
      </c>
      <c r="B271" s="47"/>
      <c r="C271" s="3"/>
      <c r="E271" s="38"/>
      <c r="F271" s="3"/>
      <c r="G271" s="3"/>
      <c r="H271" s="3"/>
      <c r="I271" s="3"/>
      <c r="J271" s="3"/>
    </row>
  </sheetData>
  <sheetProtection/>
  <mergeCells count="28">
    <mergeCell ref="A210:D210"/>
    <mergeCell ref="A211:J211"/>
    <mergeCell ref="A258:D258"/>
    <mergeCell ref="E6:E8"/>
    <mergeCell ref="A10:J10"/>
    <mergeCell ref="A1:J1"/>
    <mergeCell ref="A2:J2"/>
    <mergeCell ref="A3:J3"/>
    <mergeCell ref="A4:J4"/>
    <mergeCell ref="A6:A8"/>
    <mergeCell ref="A271:B271"/>
    <mergeCell ref="E268:F268"/>
    <mergeCell ref="A266:D266"/>
    <mergeCell ref="I268:J268"/>
    <mergeCell ref="A259:J259"/>
    <mergeCell ref="A270:C270"/>
    <mergeCell ref="I270:J270"/>
    <mergeCell ref="A265:D265"/>
    <mergeCell ref="A149:J149"/>
    <mergeCell ref="B6:B8"/>
    <mergeCell ref="F7:F8"/>
    <mergeCell ref="C6:C8"/>
    <mergeCell ref="D6:D8"/>
    <mergeCell ref="A148:D148"/>
    <mergeCell ref="A135:D135"/>
    <mergeCell ref="A136:J136"/>
    <mergeCell ref="F6:J6"/>
    <mergeCell ref="G7:J7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2018-07-10T07:40:15Z</cp:lastPrinted>
  <dcterms:created xsi:type="dcterms:W3CDTF">2017-03-21T09:08:29Z</dcterms:created>
  <dcterms:modified xsi:type="dcterms:W3CDTF">2018-11-01T13:49:50Z</dcterms:modified>
  <cp:category/>
  <cp:version/>
  <cp:contentType/>
  <cp:contentStatus/>
</cp:coreProperties>
</file>