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7" sheetId="1" r:id="rId1"/>
  </sheets>
  <definedNames>
    <definedName name="_xlnm.Print_Titles" localSheetId="0">'01.07'!$6:$9</definedName>
    <definedName name="_xlnm.Print_Area" localSheetId="0">'01.07'!$A$1:$J$179</definedName>
  </definedNames>
  <calcPr fullCalcOnLoad="1"/>
</workbook>
</file>

<file path=xl/sharedStrings.xml><?xml version="1.0" encoding="utf-8"?>
<sst xmlns="http://schemas.openxmlformats.org/spreadsheetml/2006/main" count="520" uniqueCount="417">
  <si>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</si>
  <si>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</si>
  <si>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</si>
  <si>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</si>
  <si>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</si>
  <si>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</si>
  <si>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</si>
  <si>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</si>
  <si>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</si>
  <si>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</si>
  <si>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</si>
  <si>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</si>
  <si>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</si>
  <si>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</si>
  <si>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</si>
  <si>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</si>
  <si>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</si>
  <si>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</si>
  <si>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</si>
  <si>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</si>
  <si>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</si>
  <si>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</si>
  <si>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</si>
  <si>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</si>
  <si>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</si>
  <si>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</si>
  <si>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</si>
  <si>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</si>
  <si>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</si>
  <si>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</si>
  <si>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</si>
  <si>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</si>
  <si>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</si>
  <si>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</si>
  <si>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</si>
  <si>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</si>
  <si>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</si>
  <si>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</si>
  <si>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</si>
  <si>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</si>
  <si>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</si>
  <si>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</si>
  <si>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</si>
  <si>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</si>
  <si>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</si>
  <si>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</si>
  <si>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</si>
  <si>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</si>
  <si>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</si>
  <si>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</si>
  <si>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</si>
  <si>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</si>
  <si>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</si>
  <si>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</si>
  <si>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</si>
  <si>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</si>
  <si>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</si>
  <si>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</si>
  <si>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</si>
  <si>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</si>
  <si>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</si>
  <si>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</si>
  <si>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</si>
  <si>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</si>
  <si>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</si>
  <si>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</si>
  <si>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</si>
  <si>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</si>
  <si>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</si>
  <si>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</si>
  <si>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</si>
  <si>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</si>
  <si>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</si>
  <si>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</si>
  <si>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</si>
  <si>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</si>
  <si>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</si>
  <si>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</si>
  <si>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</si>
  <si>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</si>
  <si>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</si>
  <si>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</si>
  <si>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</si>
  <si>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</si>
  <si>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</si>
  <si>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</si>
  <si>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</si>
  <si>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</si>
  <si>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</si>
  <si>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</si>
  <si>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</si>
  <si>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</si>
  <si>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</si>
  <si>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</si>
  <si>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</si>
  <si>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</si>
  <si>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</si>
  <si>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</si>
  <si>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</si>
  <si>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</si>
  <si>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</si>
  <si>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</si>
  <si>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</si>
  <si>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</si>
  <si>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</si>
  <si>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</si>
  <si>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</si>
  <si>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</si>
  <si>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</si>
  <si>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</si>
  <si>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</si>
  <si>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</si>
  <si>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</si>
  <si>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</si>
  <si>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</si>
  <si>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</si>
  <si>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</si>
  <si>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</si>
  <si>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</si>
  <si>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</si>
  <si>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</si>
  <si>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</si>
  <si>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</si>
  <si>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</si>
  <si>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</si>
  <si>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</si>
  <si>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</si>
  <si>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</si>
  <si>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</si>
  <si>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</si>
  <si>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</si>
  <si>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</si>
  <si>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</si>
  <si>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</si>
  <si>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</si>
  <si>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</si>
  <si>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</si>
  <si>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</si>
  <si>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</si>
  <si>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</si>
  <si>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</si>
  <si>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</si>
  <si>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</si>
  <si>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</si>
  <si>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</si>
  <si>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</si>
  <si>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</si>
  <si>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</si>
  <si>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</si>
  <si>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</si>
  <si>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</si>
  <si>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</si>
  <si>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</si>
  <si>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</si>
  <si>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</si>
  <si>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</si>
  <si>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</si>
  <si>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</si>
  <si>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</si>
  <si>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</si>
  <si>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</si>
  <si>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</si>
  <si>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</si>
  <si>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</si>
  <si>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</si>
  <si>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</si>
  <si>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</si>
  <si>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</si>
  <si>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</si>
  <si>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</si>
  <si>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</si>
  <si>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</si>
  <si>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</si>
  <si>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</si>
  <si>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</si>
  <si>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</si>
  <si>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</si>
  <si>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</si>
  <si>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</si>
  <si>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</si>
  <si>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</si>
  <si>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Продукція для чищення (пральний порошок, підбілювачі, ополіскувач)</t>
  </si>
  <si>
    <t>Товариство з обмеженою відповідальністю "Свіком"</t>
  </si>
  <si>
    <t>Парфуми, засоби гігієни та презервативи (мило, зубна паста, щітки)</t>
  </si>
  <si>
    <t>Папір санітарно-гігієнічного призначення (Гігієнічні прокладки)</t>
  </si>
  <si>
    <t>Фізична особа-підприємець Єремчук Людмила Василівна</t>
  </si>
  <si>
    <t>Взуття чоловіче, крім спортивного та захисного (взуття чоловіче)</t>
  </si>
  <si>
    <t>№ 23/30-т від 25.02.19</t>
  </si>
  <si>
    <t>20/10-е від 12.02.19</t>
  </si>
  <si>
    <t>Машини для виробництва текстильних виробів ( прасувальний паровий прес МІК ESP-810LX)</t>
  </si>
  <si>
    <t>Фізична особа-підприємець Теслюк Михайло Миколайович</t>
  </si>
  <si>
    <t>№ 20/10-е  від 11.03.19</t>
  </si>
  <si>
    <t>37167117</t>
  </si>
  <si>
    <t>№ 21/10-е  від 11.03.19</t>
  </si>
  <si>
    <t>№ 22/10-е  від 11.03.19</t>
  </si>
  <si>
    <t>№ 23/10  від 11.03.19</t>
  </si>
  <si>
    <t>2349221560</t>
  </si>
  <si>
    <t>№ 27/30-т від 06.03.19</t>
  </si>
  <si>
    <t>Риба, рибне філе та інше м’ясо риби морожені (риба морожена)</t>
  </si>
  <si>
    <t>№ 04/30-е від 08.01.19</t>
  </si>
  <si>
    <t>Рибні консерви та інші рибні страви і пресерви (консерви рибні)</t>
  </si>
  <si>
    <t>№ 14/30-е від 16.01.19</t>
  </si>
  <si>
    <t>Какао; шоколад та цукрові кондитерські вироби (кондитерські вироби в асортименті)</t>
  </si>
  <si>
    <t>Фізична особа-підприємець Мендрик Євген Віталійович</t>
  </si>
  <si>
    <t>№ 25/30-т від 26.02.19</t>
  </si>
  <si>
    <t>№ 26/30-т від 26.02.19</t>
  </si>
  <si>
    <t>Зернові культури та картопля (картопля пізньостигла)</t>
  </si>
  <si>
    <t>Овочі, фрукти та горіхи (овочі в асортименті; квасоля; горох)</t>
  </si>
  <si>
    <t>№ 28/30-е від 25.03.19</t>
  </si>
  <si>
    <t xml:space="preserve">Продукція борошномельно-круп'яної промисловості (Борошно пшеничне в/г) </t>
  </si>
  <si>
    <t>№ 18/10  від 14.03.19</t>
  </si>
  <si>
    <t>Електричні побутові прилади (частини побутових електричних приладів - ремінь поліклиновий BANDO)</t>
  </si>
  <si>
    <t>№ 18-8-476 від 22.03.19</t>
  </si>
  <si>
    <t>Публічне акціонерне товариство "Укрпошта"</t>
  </si>
  <si>
    <t>Газети (періодичні видання)</t>
  </si>
  <si>
    <t>№ 19/10-т  від 11.03.19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</si>
  <si>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</si>
  <si>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</si>
  <si>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</si>
  <si>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51 від 15.03.19</t>
  </si>
  <si>
    <t>Товариство з обмеженою відповідальністю "А-ЕНЕРГО"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</si>
  <si>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</si>
  <si>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№ 215-2019 від 04.03.19</t>
  </si>
  <si>
    <t>№ 09/40 від 14.03.19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</si>
  <si>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</si>
  <si>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</si>
  <si>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</si>
  <si>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Сільськогосподарські культури, продукція товарного садівництва та рослинництва (Насіння соняшника Ясон)</t>
  </si>
  <si>
    <t>Агрохімічна продукція (Гербіцид Ланкас тер)</t>
  </si>
  <si>
    <t>Приватне підприємство "МакАгроКом"</t>
  </si>
  <si>
    <t>№ 270/2-СП від 19.03.19</t>
  </si>
  <si>
    <t>№ 271/2-СП від 19.03.19</t>
  </si>
  <si>
    <t>б/н</t>
  </si>
  <si>
    <t>03191259</t>
  </si>
  <si>
    <t>Продукція підсобного господарства (натуральна форма)</t>
  </si>
  <si>
    <t>х</t>
  </si>
  <si>
    <t>КУ «Запорізький обласний центр профілактики та боротьби зі СНІДом» ЗОР</t>
  </si>
  <si>
    <t>Медичні препарати (натуральна форма)</t>
  </si>
  <si>
    <t>№ 26/10-т  від 03.04.19</t>
  </si>
  <si>
    <t>№ 36/10-е  від 10.04.19</t>
  </si>
  <si>
    <t>№ 30/10  від 15.04.19</t>
  </si>
  <si>
    <t>Вироби з дроту (Скоби калені 12 мм)</t>
  </si>
  <si>
    <t>№ 34/10  від 15.04.19</t>
  </si>
  <si>
    <t>Механічні запасні частини, крім двигунів і частин двигунів (колесо 3102 С160R)</t>
  </si>
  <si>
    <t>Медичне обладнання, фармацевтична продукція та засоби особистої гігієни (ветеринарні препарати)</t>
  </si>
  <si>
    <t>Фізична особа-підприємець Новиков Сергій Васильович</t>
  </si>
  <si>
    <t>№ 03/20 від 20.03.19</t>
  </si>
  <si>
    <t>Макаронні вироби (Макаронні вироби в асортименті)</t>
  </si>
  <si>
    <t>№ 30/30-е від 01.04.19</t>
  </si>
  <si>
    <t xml:space="preserve">Продукція борошномельно-круп'яної промисловості (Крупи в асортименті)  </t>
  </si>
  <si>
    <t>№ 31/30-е від 04.04.19</t>
  </si>
  <si>
    <t>Оброблені фрукти та овочі (ікра, томати консервоввані, огірки консервовані, кабачки консервовані, паста томатна, фрукти консервовані)</t>
  </si>
  <si>
    <t>№ 32/30-т від 18.04.19</t>
  </si>
  <si>
    <t>№ 10/40 від 01.04.19</t>
  </si>
  <si>
    <t>Послуги з ремонту і технічного обслуговування мототранспортних засобів і супутнього обладнання (технічне обслуговування)</t>
  </si>
  <si>
    <t>Приватне мале виробничо-комерційне підприємство "Ассоль"</t>
  </si>
  <si>
    <t>20470908</t>
  </si>
  <si>
    <t>Розсадницька продукція (Ялина колюча блакитна та зелена)</t>
  </si>
  <si>
    <t>КСП "Запоріжзеленгосп" ЗОР</t>
  </si>
  <si>
    <t>03362413</t>
  </si>
  <si>
    <t>№ 35/10  від 12.04.19</t>
  </si>
  <si>
    <t>Мобільні телефони (телефон ERGO F182 Point black)</t>
  </si>
  <si>
    <t>№ 41/10  від 22.04.19</t>
  </si>
  <si>
    <t>Ароматизатори та воски (освіжувач повітря в асортименті)</t>
  </si>
  <si>
    <t>№ 24/10-е  від 11.04.19</t>
  </si>
  <si>
    <t>32013712</t>
  </si>
  <si>
    <t>Товариство з обмеженою відповідальністю "Арго-М"</t>
  </si>
  <si>
    <t>№ 29/10-е  від 04.04.19</t>
  </si>
  <si>
    <t>Продукція для чищення (засоби для миття та чищення)</t>
  </si>
  <si>
    <t>Фізична особа-підприємець Кущ Іван Олексійович</t>
  </si>
  <si>
    <t>№ 31/10  від 15.04.19</t>
  </si>
  <si>
    <t>Клеї (Клей надміцний монтажний)</t>
  </si>
  <si>
    <t>№ 32/10  від 15.04.19</t>
  </si>
  <si>
    <t>Конструкційні матеріали (Лінолеум, плитка, штукатурка)</t>
  </si>
  <si>
    <t>№ 33/10  від 15.04.19</t>
  </si>
  <si>
    <t>Кухонне приладдя, товари для дому та господарства і приладдя для закладів громадського харчування (валики для фарбування, бутлі для води)</t>
  </si>
  <si>
    <t>№ 38/10-е  від 12.04.19</t>
  </si>
  <si>
    <t>Меблі для дому (матрац односекційний поліуретановий з водонепроникної тканини на нетканому полотні (войлок), матрац ватний)</t>
  </si>
  <si>
    <t>Фізична особа-підприємець Тамбулатов Олександр Володимирович</t>
  </si>
  <si>
    <t>№ 42/10  від 23.04.19</t>
  </si>
  <si>
    <t>Електричні побутові прилади (Тени)</t>
  </si>
  <si>
    <t>№ 43/10  від 22.04.19</t>
  </si>
  <si>
    <t>Столярні вироби (вікна, віконна та дверна фурнітура)</t>
  </si>
  <si>
    <t>Приватне підприємство "Камелот"</t>
  </si>
  <si>
    <t>№ 27/10-е  від 03.04.19</t>
  </si>
  <si>
    <t>Нафта і дистиляти ( дизельне пальне. картки на пальне)</t>
  </si>
  <si>
    <t>тел.0977834155</t>
  </si>
  <si>
    <t>№ 47/10-е від 25.04.19</t>
  </si>
  <si>
    <t>Фізична особа-підприємець Безсонова Анна Григорівна</t>
  </si>
  <si>
    <t>Частини для сільськогосподарської техніки (запчастини на трактор)</t>
  </si>
  <si>
    <t>№ 48/10 від 10.05.19</t>
  </si>
  <si>
    <t>Шини для транспортних засобів великої та малої тоннажності (Шина 175/70 R13 Росава БЦ-20 "всесезон")</t>
  </si>
  <si>
    <t>№ 29/30-е від 04.04.19</t>
  </si>
  <si>
    <t>№ 33/30 від 12.05.19</t>
  </si>
  <si>
    <t>Картопля та картопляні вироби (картопля мита)</t>
  </si>
  <si>
    <t>№ 34/30-е від 08.05.19</t>
  </si>
  <si>
    <t>Фізична особа-підприємець  Коваленко Володимир Леонідович</t>
  </si>
  <si>
    <t>№ 35/30-е від 13.05.19</t>
  </si>
  <si>
    <t>№ 25Л-19-07 від 14.05.19</t>
  </si>
  <si>
    <t>Товариство з обмеженою відповідальністю науково-виробниче підприємство "Дніпроенергосталь"</t>
  </si>
  <si>
    <t>Лабораторні послуги (Лабораторні дослідження зворотних вод)</t>
  </si>
  <si>
    <t>№ 32А690-5956-19 від 15.04.19</t>
  </si>
  <si>
    <t>Публічне акціонерне товариство погазопостачанню та газифікації "ЗАПОРІЖГАЗ"</t>
  </si>
  <si>
    <t>03345716</t>
  </si>
  <si>
    <t>Відключення газопостачання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</si>
  <si>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36-19/ПС від 15.05.19</t>
    </r>
  </si>
  <si>
    <t>Електромонтажні роботи ( Монтаж й установка системи пожежної сигналізації та оповіщення про пожежу КУ "Веселівський ПНІ" ЗОР корпус № 4)</t>
  </si>
  <si>
    <t>№ 11/40 від 14.05.19</t>
  </si>
  <si>
    <t xml:space="preserve">Послуги з технічного огляду та випробовувань (Послуги з визначення технічного стану КТЗ) </t>
  </si>
  <si>
    <t>Фізична особа-підприємець Шахов Олег Володимирович</t>
  </si>
  <si>
    <t>2594503773</t>
  </si>
  <si>
    <t>№ 12/40 від 21.05.19</t>
  </si>
  <si>
    <t>№ 25/10-е  від 02.04.19</t>
  </si>
  <si>
    <t>Верхній одяг різний (жіночі сукні)</t>
  </si>
  <si>
    <t>№ 28/10-е  від 03.04.19</t>
  </si>
  <si>
    <t>Вироби домашнього текстилю (комплекти постільної білизни)</t>
  </si>
  <si>
    <t>Фізична особа-підприємець Стась Антоніна Василівна</t>
  </si>
  <si>
    <t>№ 41/10-е від 18.04.19</t>
  </si>
  <si>
    <t>Фізична особа-підприємець Лис Сергій Юрійович</t>
  </si>
  <si>
    <t>Спідня білизна (спідня білизна в асортименті)</t>
  </si>
  <si>
    <t>№ 49/10-е від 15.05.19</t>
  </si>
  <si>
    <t>Товариство з обмеженою відповідальністю "ЮГХОЛОДТОРГ"</t>
  </si>
  <si>
    <t>Електричні побутові прилади (холодильник, DELFA DMF-83)</t>
  </si>
  <si>
    <t>№ 37/30-т від 27.05.19</t>
  </si>
  <si>
    <t>Овочі, фрукти та горіхи (овочі в асортименті середньостиглі)</t>
  </si>
  <si>
    <t>№ 13/40 від 14.05.19</t>
  </si>
  <si>
    <t>Поховальні та супутні послуги (Послуги з виготовлення та встановлення пам’ятників)</t>
  </si>
  <si>
    <t>№ 03/3110-е від 12.04.19</t>
  </si>
  <si>
    <t>Фізична особа-підприємець Пащенко Ніна Юріївна</t>
  </si>
  <si>
    <t>Електричні побутові прилади (Двокамерний холодильник, морозильна камера "скриня")</t>
  </si>
  <si>
    <t>№ 31-654 від 02.05.19</t>
  </si>
  <si>
    <t>про укладення договорів про закупівлю товарів, робіт і послуг та їх виконання за станом на 01.06.2019</t>
  </si>
  <si>
    <t>№ 18-8-793 від 30.05.19</t>
  </si>
  <si>
    <t>Частини для сільськогосподарської техніки (запчастини для сільськогосподарської техніки)</t>
  </si>
  <si>
    <t>№ 50/10 від 11.06.19</t>
  </si>
  <si>
    <t>№ 53/10  від 06.06.19</t>
  </si>
  <si>
    <t>Вапняк, гіпс і крейда (вапно гашене)</t>
  </si>
  <si>
    <t>№ 54/10  від 06.06.19</t>
  </si>
  <si>
    <t>Мастики, шпаклівки, замазки та розчинники (розчинник)</t>
  </si>
  <si>
    <t>№ 55/10-е  від 28.05.19</t>
  </si>
  <si>
    <t>Приватне акціонерне товариство "АЗОВКАБЕЛЬ"</t>
  </si>
  <si>
    <t>№ 56/10  від 06.06.19</t>
  </si>
  <si>
    <t>Частини ручних інструментів (Круги відрізні)</t>
  </si>
  <si>
    <t>№ 57/10  від 06.06.19</t>
  </si>
  <si>
    <t>Гумові вироби (Ізоляційна стрічка)</t>
  </si>
  <si>
    <t>№ 58/10  від 06.06.19</t>
  </si>
  <si>
    <t>Кріпильні деталі (забивні дюбелі)</t>
  </si>
  <si>
    <t>№ 59/10  від 06.06.19</t>
  </si>
  <si>
    <t>Каналізаційне обладнання (Труби)</t>
  </si>
  <si>
    <t>№ 60/10  від 06.06.19</t>
  </si>
  <si>
    <t>Електричне приладдя та супутні товари до електричного обладнання (електротовари в асортименті)</t>
  </si>
  <si>
    <t>№ 64/10-е  від 06.06.19</t>
  </si>
  <si>
    <t>Нафта і дистиляти (дизельне пальне. картки на пальне)</t>
  </si>
  <si>
    <t>№ 68/10-т  від 12.06.19</t>
  </si>
  <si>
    <t>№ 39/30 від 19.06.19</t>
  </si>
  <si>
    <t>Продукція тваринництва та супутня продукція (натуральний мед)</t>
  </si>
  <si>
    <t>№ 14/40 від 06.06.19</t>
  </si>
  <si>
    <t>Інші завершальні будівельні роботи ( Поточний ремонт обладнання для підігріву холодної води БПК)</t>
  </si>
  <si>
    <t>Товариство з обмеженою відповідальністю "Теплоенергосоюз"</t>
  </si>
  <si>
    <t>№ 15/40 від 13.06.19</t>
  </si>
  <si>
    <t>Прокат пасажирських транспортних засобів із водієм (Транспортні послуги)</t>
  </si>
  <si>
    <t>Товариство з обмеженою відповідальністю "БАСТУР С"</t>
  </si>
  <si>
    <t>№ 40/10-е  від 16.04.19</t>
  </si>
  <si>
    <t>Фізична особа-підприємець Софіян Роман Васильович</t>
  </si>
  <si>
    <t>Взуття різне, крім спортивного та захисного (туфлі, капці)</t>
  </si>
  <si>
    <t>№ 51/10-е від 21.05.19</t>
  </si>
  <si>
    <t>Верхній одяг різний (светри вовняні чоловічі)</t>
  </si>
  <si>
    <t>Фізична особа-підприємець Збаравський Віталій Валерійович</t>
  </si>
  <si>
    <t>№ 55/10  від 06.06.19</t>
  </si>
  <si>
    <t>Вироби для ванної кімнати та кухні (змішувачі, кріплення для унітаза)</t>
  </si>
  <si>
    <t>№ 56/10-е  від 28.05.19</t>
  </si>
  <si>
    <t>№ 61/10  від 04.06.19</t>
  </si>
  <si>
    <t>Конструкційні матеріали (сходинку для ганку)</t>
  </si>
  <si>
    <t>Фізична особа-підприємець Єрмоленко Володимир Михайлович</t>
  </si>
  <si>
    <t>№ 62/10  від 07.06.19</t>
  </si>
  <si>
    <t>Товариство з обмеженою відповідальністю "Промбуд Іввестінг"</t>
  </si>
  <si>
    <t>№ 63/10-е  від 04.06.19</t>
  </si>
  <si>
    <t>Футболки та сорочки (Сорочки та футболки чоловічі)</t>
  </si>
  <si>
    <t>№ 65/10-е  від 06.06.19</t>
  </si>
  <si>
    <t>Фізична особа-підприємець Курносова Тетяна Валеріївна</t>
  </si>
  <si>
    <t>Конструкційні матеріали (цемент)</t>
  </si>
  <si>
    <t>№ 67/10  від 07.06.19</t>
  </si>
  <si>
    <t>Замки, ключі та петлі (замки)</t>
  </si>
  <si>
    <t>№ 70/10  від 19.06.19</t>
  </si>
  <si>
    <t>Вироби різні з канату, мотузки, шпагату та сітки (мотузка для білизни)</t>
  </si>
  <si>
    <t>№ 71/10  від 19.06.19</t>
  </si>
  <si>
    <t>Електрична апаратура для комутування та захисту електричних кіл (автоматичні вимикачі)</t>
  </si>
  <si>
    <t>№ 72/10  від 19.06.19</t>
  </si>
  <si>
    <t>Елементи електричних схем (Вилки та розетки)</t>
  </si>
  <si>
    <t>№ 73/10  від 19.06.19</t>
  </si>
  <si>
    <t>Килимові покриття, килимки та килими ( коврова доріжка, 1.5м)</t>
  </si>
  <si>
    <t>№ 76/10-е  від 24.06.19</t>
  </si>
  <si>
    <t>Парфуми, засоби гігієни та презервативи (мило, шампунь)</t>
  </si>
  <si>
    <t>№ 2/19 від 25.04.19</t>
  </si>
  <si>
    <t>Приватна фірма "ВЕЛЛ"</t>
  </si>
  <si>
    <t>Спеціальний одяг (спортивні костюми чоловічі)</t>
  </si>
  <si>
    <t>№ 02/20-е від 05.06.19</t>
  </si>
  <si>
    <t>Агрохімічна продукція (дезинфекційні засоби)</t>
  </si>
  <si>
    <t>Фізична особа-підприємець Ряжських Анжела Іванівна</t>
  </si>
  <si>
    <t>№ 38/30-е від 06.06.19</t>
  </si>
  <si>
    <t>Фруктові та овочеві соки (в асортименті)</t>
  </si>
  <si>
    <t>Фізична особа-підприємець Марков Богдан Артурович</t>
  </si>
  <si>
    <t>№ 02/3110-е від 08.04.19</t>
  </si>
  <si>
    <t>Теплообмінники, кондиціонери повітря, холодильне обладнання та фільтрувальні пристрої (водонагрівач проточний пластинчастий розбірний)</t>
  </si>
  <si>
    <t>Товариство з обмеженою відповідальністю "Енерго Тепло Інжиніринг"</t>
  </si>
  <si>
    <t>№ 04/3110 від 13.06.19</t>
  </si>
  <si>
    <t>Фізична особа-підприємець Герасименко Руслан Антонович</t>
  </si>
  <si>
    <t>Конструкції та їх частини (Альтанка для відпочинку підопічних)</t>
  </si>
  <si>
    <t>№ 05/3110 від 19.06.19</t>
  </si>
  <si>
    <t>№ 06/3110 від 24.06.19</t>
  </si>
  <si>
    <t>Котельні установки (бойлер Electrolux EWH 100 Formax)</t>
  </si>
  <si>
    <t>Машини для обробки продуктів харчування, виробництва напоїв та обробки тютюну ( картоплечистка МОО-1)</t>
  </si>
  <si>
    <t xml:space="preserve">Приватна особа Полунін О.М. </t>
  </si>
  <si>
    <t>Продукти харчування (натуральна форма)</t>
  </si>
  <si>
    <t>Вироби з дроту ( дроти ШВВП 2*2,5; СИП-4 4*25 )</t>
  </si>
  <si>
    <t>Фізична особа-підприємець Каменщиков Денис Олександрович</t>
  </si>
  <si>
    <t>Електричні лампи розжарення (лампи енергозберігаючі; лампи бактерицидні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</si>
</sst>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BreakPreview" zoomScale="75" zoomScaleNormal="75" zoomScaleSheetLayoutView="75" zoomScalePageLayoutView="0" workbookViewId="0" topLeftCell="A169">
      <selection activeCell="F177" sqref="F177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75">
      <c r="A2" s="42" t="s">
        <v>331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.75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.7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6" spans="1:11" ht="18.75">
      <c r="A6" s="44" t="s">
        <v>0</v>
      </c>
      <c r="B6" s="44" t="s">
        <v>1</v>
      </c>
      <c r="C6" s="44" t="s">
        <v>20</v>
      </c>
      <c r="D6" s="44" t="s">
        <v>2</v>
      </c>
      <c r="E6" s="45" t="s">
        <v>3</v>
      </c>
      <c r="F6" s="45" t="s">
        <v>4</v>
      </c>
      <c r="G6" s="45"/>
      <c r="H6" s="45"/>
      <c r="I6" s="45"/>
      <c r="J6" s="45"/>
      <c r="K6" s="4"/>
    </row>
    <row r="7" spans="1:11" ht="18.75">
      <c r="A7" s="44"/>
      <c r="B7" s="44"/>
      <c r="C7" s="44"/>
      <c r="D7" s="44"/>
      <c r="E7" s="45"/>
      <c r="F7" s="45" t="s">
        <v>18</v>
      </c>
      <c r="G7" s="45" t="s">
        <v>19</v>
      </c>
      <c r="H7" s="45"/>
      <c r="I7" s="45"/>
      <c r="J7" s="45"/>
      <c r="K7" s="4"/>
    </row>
    <row r="8" spans="1:11" ht="168.75">
      <c r="A8" s="44"/>
      <c r="B8" s="44"/>
      <c r="C8" s="44"/>
      <c r="D8" s="44"/>
      <c r="E8" s="45"/>
      <c r="F8" s="45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41" t="s">
        <v>11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93.75">
      <c r="A11" s="11" t="s">
        <v>37</v>
      </c>
      <c r="B11" s="11" t="s">
        <v>36</v>
      </c>
      <c r="C11" s="1">
        <v>2811012290</v>
      </c>
      <c r="D11" s="25" t="s">
        <v>23</v>
      </c>
      <c r="E11" s="12">
        <f>2.45+19.646+0.65</f>
        <v>22.746</v>
      </c>
      <c r="F11" s="12">
        <f aca="true" t="shared" si="0" ref="F11:F88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v>29.24</v>
      </c>
      <c r="F12" s="12">
        <f t="shared" si="0"/>
        <v>29.24</v>
      </c>
      <c r="G12" s="19"/>
      <c r="H12" s="12"/>
      <c r="I12" s="19">
        <v>29.24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f>4.914+1.5114</f>
        <v>6.4254</v>
      </c>
      <c r="F14" s="12">
        <f>SUM(G14:J14)</f>
        <v>6.4254</v>
      </c>
      <c r="G14" s="19">
        <f>4.914+1.5114</f>
        <v>6.4254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4.3875+2.38146+2.05758</f>
        <v>8.82654</v>
      </c>
      <c r="F15" s="12">
        <f>SUM(G15:J15)</f>
        <v>8.82654</v>
      </c>
      <c r="G15" s="19">
        <f>4.3875+2.38146+2.05758</f>
        <v>8.82654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f>2.132+0.535+1.815</f>
        <v>4.482</v>
      </c>
      <c r="F22" s="12">
        <f t="shared" si="0"/>
        <v>4.482</v>
      </c>
      <c r="G22" s="19">
        <f>2.132+0.535+1.815</f>
        <v>4.482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0.487+0.569+2.529</f>
        <v>3.585</v>
      </c>
      <c r="F23" s="12">
        <f t="shared" si="0"/>
        <v>3.585</v>
      </c>
      <c r="G23" s="19"/>
      <c r="H23" s="12"/>
      <c r="I23" s="19">
        <f>0.487+0.569+2.529</f>
        <v>3.585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f>6.25+4.87</f>
        <v>11.120000000000001</v>
      </c>
      <c r="F24" s="12">
        <f t="shared" si="0"/>
        <v>11.120000000000001</v>
      </c>
      <c r="G24" s="19">
        <v>4.87</v>
      </c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8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8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v>1.07</v>
      </c>
      <c r="F28" s="12">
        <f t="shared" si="0"/>
        <v>1.07</v>
      </c>
      <c r="G28" s="19">
        <v>1.07</v>
      </c>
      <c r="H28" s="12"/>
      <c r="I28" s="19"/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8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8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8" t="s">
        <v>192</v>
      </c>
      <c r="D32" s="31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8" t="s">
        <v>196</v>
      </c>
      <c r="D33" s="31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264</v>
      </c>
      <c r="B34" s="11" t="s">
        <v>266</v>
      </c>
      <c r="C34" s="28" t="s">
        <v>265</v>
      </c>
      <c r="D34" s="31" t="s">
        <v>263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312</v>
      </c>
      <c r="B35" s="11" t="s">
        <v>185</v>
      </c>
      <c r="C35" s="28" t="s">
        <v>196</v>
      </c>
      <c r="D35" s="31" t="s">
        <v>313</v>
      </c>
      <c r="E35" s="19">
        <v>23.94</v>
      </c>
      <c r="F35" s="12">
        <f t="shared" si="0"/>
        <v>23.94</v>
      </c>
      <c r="G35" s="19"/>
      <c r="H35" s="12"/>
      <c r="I35" s="19">
        <v>23.94</v>
      </c>
      <c r="J35" s="12"/>
    </row>
    <row r="36" spans="1:10" ht="75.75" customHeight="1">
      <c r="A36" s="11" t="s">
        <v>238</v>
      </c>
      <c r="B36" s="14" t="s">
        <v>53</v>
      </c>
      <c r="C36" s="1">
        <v>41224168</v>
      </c>
      <c r="D36" s="31" t="s">
        <v>56</v>
      </c>
      <c r="E36" s="19">
        <v>29.712</v>
      </c>
      <c r="F36" s="12">
        <f t="shared" si="0"/>
        <v>29.1264</v>
      </c>
      <c r="G36" s="19">
        <f>7.38+13.26+8.4864</f>
        <v>29.1264</v>
      </c>
      <c r="H36" s="12"/>
      <c r="I36" s="19"/>
      <c r="J36" s="12"/>
    </row>
    <row r="37" spans="1:10" ht="75.75" customHeight="1">
      <c r="A37" s="11" t="s">
        <v>284</v>
      </c>
      <c r="B37" s="14" t="s">
        <v>53</v>
      </c>
      <c r="C37" s="1">
        <v>41224168</v>
      </c>
      <c r="D37" s="31" t="s">
        <v>285</v>
      </c>
      <c r="E37" s="19">
        <v>40.23</v>
      </c>
      <c r="F37" s="12">
        <f t="shared" si="0"/>
        <v>33.374</v>
      </c>
      <c r="G37" s="19">
        <f>18.774+14.6</f>
        <v>33.374</v>
      </c>
      <c r="H37" s="12"/>
      <c r="I37" s="19"/>
      <c r="J37" s="12"/>
    </row>
    <row r="38" spans="1:10" ht="75.75" customHeight="1">
      <c r="A38" s="11" t="s">
        <v>314</v>
      </c>
      <c r="B38" s="14" t="s">
        <v>316</v>
      </c>
      <c r="C38" s="1">
        <v>1677402024</v>
      </c>
      <c r="D38" s="31" t="s">
        <v>315</v>
      </c>
      <c r="E38" s="19">
        <v>79.95</v>
      </c>
      <c r="F38" s="12">
        <f t="shared" si="0"/>
        <v>79.95</v>
      </c>
      <c r="G38" s="19"/>
      <c r="H38" s="12"/>
      <c r="I38" s="19">
        <v>79.95</v>
      </c>
      <c r="J38" s="12"/>
    </row>
    <row r="39" spans="1:10" ht="75.75" customHeight="1">
      <c r="A39" s="11" t="s">
        <v>267</v>
      </c>
      <c r="B39" s="14" t="s">
        <v>269</v>
      </c>
      <c r="C39" s="1">
        <v>2146511192</v>
      </c>
      <c r="D39" s="31" t="s">
        <v>268</v>
      </c>
      <c r="E39" s="19">
        <v>81.359</v>
      </c>
      <c r="F39" s="12">
        <f t="shared" si="0"/>
        <v>81.35726</v>
      </c>
      <c r="G39" s="19"/>
      <c r="H39" s="12"/>
      <c r="I39" s="19">
        <f>79.91726+1.44</f>
        <v>81.35726</v>
      </c>
      <c r="J39" s="12"/>
    </row>
    <row r="40" spans="1:10" ht="75.75" customHeight="1">
      <c r="A40" s="11" t="s">
        <v>240</v>
      </c>
      <c r="B40" s="11" t="s">
        <v>28</v>
      </c>
      <c r="C40" s="1">
        <v>2910606505</v>
      </c>
      <c r="D40" s="31" t="s">
        <v>241</v>
      </c>
      <c r="E40" s="19">
        <v>0.042</v>
      </c>
      <c r="F40" s="12">
        <f t="shared" si="0"/>
        <v>0.042</v>
      </c>
      <c r="G40" s="19">
        <v>0.042</v>
      </c>
      <c r="H40" s="12"/>
      <c r="I40" s="19"/>
      <c r="J40" s="12"/>
    </row>
    <row r="41" spans="1:10" ht="75.75" customHeight="1">
      <c r="A41" s="11" t="s">
        <v>270</v>
      </c>
      <c r="B41" s="11" t="s">
        <v>28</v>
      </c>
      <c r="C41" s="1">
        <v>2910606505</v>
      </c>
      <c r="D41" s="31" t="s">
        <v>271</v>
      </c>
      <c r="E41" s="19">
        <f>0.0954+1.219</f>
        <v>1.3144</v>
      </c>
      <c r="F41" s="12">
        <f t="shared" si="0"/>
        <v>1.3144</v>
      </c>
      <c r="G41" s="19"/>
      <c r="H41" s="12"/>
      <c r="I41" s="19">
        <f>0.0954+1.219</f>
        <v>1.3144</v>
      </c>
      <c r="J41" s="12"/>
    </row>
    <row r="42" spans="1:10" ht="75.75" customHeight="1">
      <c r="A42" s="11" t="s">
        <v>272</v>
      </c>
      <c r="B42" s="11" t="s">
        <v>28</v>
      </c>
      <c r="C42" s="1">
        <v>2910606505</v>
      </c>
      <c r="D42" s="31" t="s">
        <v>273</v>
      </c>
      <c r="E42" s="19">
        <v>4.6491</v>
      </c>
      <c r="F42" s="12">
        <f t="shared" si="0"/>
        <v>3.8331</v>
      </c>
      <c r="G42" s="19"/>
      <c r="H42" s="12"/>
      <c r="I42" s="19">
        <f>3.5691+0.264</f>
        <v>3.8331</v>
      </c>
      <c r="J42" s="12"/>
    </row>
    <row r="43" spans="1:10" ht="159" customHeight="1">
      <c r="A43" s="11" t="s">
        <v>274</v>
      </c>
      <c r="B43" s="11" t="s">
        <v>28</v>
      </c>
      <c r="C43" s="1">
        <v>2910606505</v>
      </c>
      <c r="D43" s="31" t="s">
        <v>275</v>
      </c>
      <c r="E43" s="19">
        <f>2.5575+0.042</f>
        <v>2.5995</v>
      </c>
      <c r="F43" s="12">
        <f t="shared" si="0"/>
        <v>2.5995</v>
      </c>
      <c r="G43" s="19">
        <v>0.042</v>
      </c>
      <c r="H43" s="12"/>
      <c r="I43" s="19">
        <v>2.5575</v>
      </c>
      <c r="J43" s="12"/>
    </row>
    <row r="44" spans="1:10" ht="75.75" customHeight="1">
      <c r="A44" s="11" t="s">
        <v>242</v>
      </c>
      <c r="B44" s="11" t="s">
        <v>28</v>
      </c>
      <c r="C44" s="1">
        <v>2910606505</v>
      </c>
      <c r="D44" s="31" t="s">
        <v>243</v>
      </c>
      <c r="E44" s="19">
        <v>0.252</v>
      </c>
      <c r="F44" s="12">
        <f t="shared" si="0"/>
        <v>0.252</v>
      </c>
      <c r="G44" s="19">
        <v>0.252</v>
      </c>
      <c r="H44" s="12"/>
      <c r="I44" s="19"/>
      <c r="J44" s="12"/>
    </row>
    <row r="45" spans="1:10" ht="75.75" customHeight="1">
      <c r="A45" s="11" t="s">
        <v>260</v>
      </c>
      <c r="B45" s="11" t="s">
        <v>258</v>
      </c>
      <c r="C45" s="28" t="s">
        <v>259</v>
      </c>
      <c r="D45" s="31" t="s">
        <v>257</v>
      </c>
      <c r="E45" s="19">
        <v>1.8</v>
      </c>
      <c r="F45" s="12">
        <f t="shared" si="0"/>
        <v>1.8</v>
      </c>
      <c r="G45" s="19"/>
      <c r="H45" s="12">
        <v>1.8</v>
      </c>
      <c r="I45" s="19"/>
      <c r="J45" s="12"/>
    </row>
    <row r="46" spans="1:10" ht="75.75" customHeight="1">
      <c r="A46" s="11" t="s">
        <v>239</v>
      </c>
      <c r="B46" s="14" t="s">
        <v>53</v>
      </c>
      <c r="C46" s="1">
        <v>41224168</v>
      </c>
      <c r="D46" s="31" t="s">
        <v>52</v>
      </c>
      <c r="E46" s="19">
        <v>13.2</v>
      </c>
      <c r="F46" s="12">
        <f t="shared" si="0"/>
        <v>13.09</v>
      </c>
      <c r="G46" s="19">
        <f>5.28+7.81</f>
        <v>13.09</v>
      </c>
      <c r="H46" s="12"/>
      <c r="I46" s="19"/>
      <c r="J46" s="12"/>
    </row>
    <row r="47" spans="1:10" ht="117.75" customHeight="1">
      <c r="A47" s="11" t="s">
        <v>276</v>
      </c>
      <c r="B47" s="14" t="s">
        <v>278</v>
      </c>
      <c r="C47" s="1">
        <v>3092617498</v>
      </c>
      <c r="D47" s="31" t="s">
        <v>277</v>
      </c>
      <c r="E47" s="19">
        <v>42.875</v>
      </c>
      <c r="F47" s="12">
        <f t="shared" si="0"/>
        <v>42.875</v>
      </c>
      <c r="G47" s="19"/>
      <c r="H47" s="12"/>
      <c r="I47" s="19">
        <v>42.875</v>
      </c>
      <c r="J47" s="12"/>
    </row>
    <row r="48" spans="1:10" ht="78" customHeight="1">
      <c r="A48" s="11" t="s">
        <v>362</v>
      </c>
      <c r="B48" s="14" t="s">
        <v>363</v>
      </c>
      <c r="C48" s="1">
        <v>3454316252</v>
      </c>
      <c r="D48" s="31" t="s">
        <v>364</v>
      </c>
      <c r="E48" s="19">
        <v>69.84</v>
      </c>
      <c r="F48" s="12">
        <f t="shared" si="0"/>
        <v>49.185</v>
      </c>
      <c r="G48" s="19"/>
      <c r="H48" s="12"/>
      <c r="I48" s="19">
        <v>49.185</v>
      </c>
      <c r="J48" s="12"/>
    </row>
    <row r="49" spans="1:10" ht="75.75" customHeight="1">
      <c r="A49" s="11" t="s">
        <v>262</v>
      </c>
      <c r="B49" s="11" t="s">
        <v>131</v>
      </c>
      <c r="C49" s="1">
        <v>2819313730</v>
      </c>
      <c r="D49" s="31" t="s">
        <v>261</v>
      </c>
      <c r="E49" s="19">
        <v>0.59</v>
      </c>
      <c r="F49" s="12">
        <f t="shared" si="0"/>
        <v>0.59</v>
      </c>
      <c r="G49" s="19"/>
      <c r="H49" s="12">
        <v>0.59</v>
      </c>
      <c r="I49" s="19"/>
      <c r="J49" s="12"/>
    </row>
    <row r="50" spans="1:10" ht="75.75" customHeight="1">
      <c r="A50" s="11" t="s">
        <v>317</v>
      </c>
      <c r="B50" s="11" t="s">
        <v>318</v>
      </c>
      <c r="C50" s="1">
        <v>2168804616</v>
      </c>
      <c r="D50" s="31" t="s">
        <v>319</v>
      </c>
      <c r="E50" s="19">
        <v>44.888</v>
      </c>
      <c r="F50" s="12">
        <f t="shared" si="0"/>
        <v>44.888</v>
      </c>
      <c r="G50" s="19"/>
      <c r="H50" s="12"/>
      <c r="I50" s="19">
        <v>44.888</v>
      </c>
      <c r="J50" s="12"/>
    </row>
    <row r="51" spans="1:10" ht="75.75" customHeight="1">
      <c r="A51" s="11" t="s">
        <v>279</v>
      </c>
      <c r="B51" s="11" t="s">
        <v>24</v>
      </c>
      <c r="C51" s="1">
        <v>2587702593</v>
      </c>
      <c r="D51" s="31" t="s">
        <v>280</v>
      </c>
      <c r="E51" s="19">
        <v>1.65</v>
      </c>
      <c r="F51" s="12">
        <f t="shared" si="0"/>
        <v>1.65</v>
      </c>
      <c r="G51" s="19"/>
      <c r="H51" s="12"/>
      <c r="I51" s="19">
        <v>1.65</v>
      </c>
      <c r="J51" s="12"/>
    </row>
    <row r="52" spans="1:10" ht="55.5" customHeight="1">
      <c r="A52" s="11" t="s">
        <v>281</v>
      </c>
      <c r="B52" s="11" t="s">
        <v>283</v>
      </c>
      <c r="C52" s="1">
        <v>32297434</v>
      </c>
      <c r="D52" s="31" t="s">
        <v>282</v>
      </c>
      <c r="E52" s="19">
        <v>24.44545</v>
      </c>
      <c r="F52" s="12">
        <f t="shared" si="0"/>
        <v>24.44545</v>
      </c>
      <c r="G52" s="19"/>
      <c r="H52" s="12"/>
      <c r="I52" s="19">
        <v>24.44545</v>
      </c>
      <c r="J52" s="12"/>
    </row>
    <row r="53" spans="1:10" ht="75.75" customHeight="1">
      <c r="A53" s="11" t="s">
        <v>287</v>
      </c>
      <c r="B53" s="11" t="s">
        <v>288</v>
      </c>
      <c r="C53" s="1">
        <v>3087716386</v>
      </c>
      <c r="D53" s="31" t="s">
        <v>289</v>
      </c>
      <c r="E53" s="19">
        <v>3.95</v>
      </c>
      <c r="F53" s="12">
        <f t="shared" si="0"/>
        <v>3.95</v>
      </c>
      <c r="G53" s="19">
        <v>3.95</v>
      </c>
      <c r="H53" s="12"/>
      <c r="I53" s="19"/>
      <c r="J53" s="12"/>
    </row>
    <row r="54" spans="1:10" ht="55.5" customHeight="1">
      <c r="A54" s="11" t="s">
        <v>393</v>
      </c>
      <c r="B54" s="11" t="s">
        <v>394</v>
      </c>
      <c r="C54" s="1">
        <v>30329899</v>
      </c>
      <c r="D54" s="31" t="s">
        <v>395</v>
      </c>
      <c r="E54" s="19">
        <v>12</v>
      </c>
      <c r="F54" s="12">
        <f t="shared" si="0"/>
        <v>12</v>
      </c>
      <c r="G54" s="19"/>
      <c r="H54" s="12"/>
      <c r="I54" s="19">
        <v>12</v>
      </c>
      <c r="J54" s="12"/>
    </row>
    <row r="55" spans="1:10" ht="75.75" customHeight="1">
      <c r="A55" s="11" t="s">
        <v>290</v>
      </c>
      <c r="B55" s="14" t="s">
        <v>125</v>
      </c>
      <c r="C55" s="1">
        <v>3241110998</v>
      </c>
      <c r="D55" s="31" t="s">
        <v>291</v>
      </c>
      <c r="E55" s="19">
        <v>2.98008</v>
      </c>
      <c r="F55" s="12">
        <f t="shared" si="0"/>
        <v>2.98008</v>
      </c>
      <c r="G55" s="19">
        <v>2.98008</v>
      </c>
      <c r="H55" s="12"/>
      <c r="I55" s="19"/>
      <c r="J55" s="12"/>
    </row>
    <row r="56" spans="1:10" ht="75.75" customHeight="1">
      <c r="A56" s="11" t="s">
        <v>320</v>
      </c>
      <c r="B56" s="14" t="s">
        <v>321</v>
      </c>
      <c r="C56" s="1">
        <v>38360040</v>
      </c>
      <c r="D56" s="31" t="s">
        <v>322</v>
      </c>
      <c r="E56" s="19">
        <v>6.55</v>
      </c>
      <c r="F56" s="12">
        <f t="shared" si="0"/>
        <v>6.55</v>
      </c>
      <c r="G56" s="19"/>
      <c r="H56" s="12"/>
      <c r="I56" s="19">
        <v>6.55</v>
      </c>
      <c r="J56" s="12"/>
    </row>
    <row r="57" spans="1:10" ht="75.75" customHeight="1">
      <c r="A57" s="11" t="s">
        <v>334</v>
      </c>
      <c r="B57" s="11" t="s">
        <v>288</v>
      </c>
      <c r="C57" s="1">
        <v>3087716386</v>
      </c>
      <c r="D57" s="31" t="s">
        <v>333</v>
      </c>
      <c r="E57" s="19">
        <v>2.25</v>
      </c>
      <c r="F57" s="12">
        <f t="shared" si="0"/>
        <v>2.25</v>
      </c>
      <c r="G57" s="19">
        <v>2.25</v>
      </c>
      <c r="H57" s="12"/>
      <c r="I57" s="19"/>
      <c r="J57" s="12"/>
    </row>
    <row r="58" spans="1:10" ht="75.75" customHeight="1">
      <c r="A58" s="11" t="s">
        <v>365</v>
      </c>
      <c r="B58" s="11" t="s">
        <v>367</v>
      </c>
      <c r="C58" s="1">
        <v>3315315510</v>
      </c>
      <c r="D58" s="31" t="s">
        <v>366</v>
      </c>
      <c r="E58" s="19">
        <v>7.899</v>
      </c>
      <c r="F58" s="12">
        <f t="shared" si="0"/>
        <v>7.899</v>
      </c>
      <c r="G58" s="19"/>
      <c r="H58" s="12"/>
      <c r="I58" s="19">
        <v>7.899</v>
      </c>
      <c r="J58" s="12"/>
    </row>
    <row r="59" spans="1:10" ht="75.75" customHeight="1">
      <c r="A59" s="11" t="s">
        <v>335</v>
      </c>
      <c r="B59" s="11" t="s">
        <v>28</v>
      </c>
      <c r="C59" s="1">
        <v>2910606505</v>
      </c>
      <c r="D59" s="31" t="s">
        <v>336</v>
      </c>
      <c r="E59" s="19">
        <v>0.323</v>
      </c>
      <c r="F59" s="12">
        <f t="shared" si="0"/>
        <v>0.323</v>
      </c>
      <c r="G59" s="19">
        <v>0.323</v>
      </c>
      <c r="H59" s="12"/>
      <c r="I59" s="19"/>
      <c r="J59" s="12"/>
    </row>
    <row r="60" spans="1:10" ht="75.75" customHeight="1">
      <c r="A60" s="11" t="s">
        <v>337</v>
      </c>
      <c r="B60" s="11" t="s">
        <v>28</v>
      </c>
      <c r="C60" s="1">
        <v>2910606505</v>
      </c>
      <c r="D60" s="31" t="s">
        <v>338</v>
      </c>
      <c r="E60" s="19">
        <v>0.108</v>
      </c>
      <c r="F60" s="12">
        <f t="shared" si="0"/>
        <v>0.108</v>
      </c>
      <c r="G60" s="19">
        <v>0.108</v>
      </c>
      <c r="H60" s="12"/>
      <c r="I60" s="19"/>
      <c r="J60" s="12"/>
    </row>
    <row r="61" spans="1:10" ht="75.75" customHeight="1">
      <c r="A61" s="11" t="s">
        <v>368</v>
      </c>
      <c r="B61" s="11" t="s">
        <v>28</v>
      </c>
      <c r="C61" s="1">
        <v>2910606505</v>
      </c>
      <c r="D61" s="31" t="s">
        <v>369</v>
      </c>
      <c r="E61" s="19">
        <v>2.938</v>
      </c>
      <c r="F61" s="12">
        <f t="shared" si="0"/>
        <v>2.938</v>
      </c>
      <c r="G61" s="19"/>
      <c r="H61" s="12"/>
      <c r="I61" s="19">
        <v>2.938</v>
      </c>
      <c r="J61" s="12"/>
    </row>
    <row r="62" spans="1:10" ht="63.75" customHeight="1">
      <c r="A62" s="11" t="s">
        <v>339</v>
      </c>
      <c r="B62" s="11" t="s">
        <v>340</v>
      </c>
      <c r="C62" s="1">
        <v>31600918</v>
      </c>
      <c r="D62" s="40" t="s">
        <v>414</v>
      </c>
      <c r="E62" s="19">
        <v>4.104</v>
      </c>
      <c r="F62" s="12">
        <f t="shared" si="0"/>
        <v>4.104</v>
      </c>
      <c r="G62" s="19">
        <v>4.104</v>
      </c>
      <c r="H62" s="12"/>
      <c r="I62" s="19"/>
      <c r="J62" s="12"/>
    </row>
    <row r="63" spans="1:10" ht="75.75" customHeight="1">
      <c r="A63" s="11" t="s">
        <v>341</v>
      </c>
      <c r="B63" s="11" t="s">
        <v>28</v>
      </c>
      <c r="C63" s="1">
        <v>2910606505</v>
      </c>
      <c r="D63" s="31" t="s">
        <v>342</v>
      </c>
      <c r="E63" s="19">
        <v>0.198</v>
      </c>
      <c r="F63" s="12">
        <f t="shared" si="0"/>
        <v>0.198</v>
      </c>
      <c r="G63" s="19">
        <v>0.198</v>
      </c>
      <c r="H63" s="12"/>
      <c r="I63" s="19"/>
      <c r="J63" s="12"/>
    </row>
    <row r="64" spans="1:10" ht="75.75" customHeight="1">
      <c r="A64" s="11" t="s">
        <v>370</v>
      </c>
      <c r="B64" s="11" t="s">
        <v>415</v>
      </c>
      <c r="C64" s="1">
        <v>2842000013</v>
      </c>
      <c r="D64" s="40" t="s">
        <v>416</v>
      </c>
      <c r="E64" s="19">
        <v>15.79</v>
      </c>
      <c r="F64" s="12">
        <f t="shared" si="0"/>
        <v>15.79</v>
      </c>
      <c r="G64" s="19"/>
      <c r="H64" s="12"/>
      <c r="I64" s="19">
        <v>15.79</v>
      </c>
      <c r="J64" s="12"/>
    </row>
    <row r="65" spans="1:10" ht="75.75" customHeight="1">
      <c r="A65" s="11" t="s">
        <v>343</v>
      </c>
      <c r="B65" s="11" t="s">
        <v>28</v>
      </c>
      <c r="C65" s="1">
        <v>2910606505</v>
      </c>
      <c r="D65" s="31" t="s">
        <v>344</v>
      </c>
      <c r="E65" s="19">
        <v>0.12</v>
      </c>
      <c r="F65" s="12">
        <f t="shared" si="0"/>
        <v>0.12</v>
      </c>
      <c r="G65" s="19">
        <v>0.12</v>
      </c>
      <c r="H65" s="12"/>
      <c r="I65" s="19"/>
      <c r="J65" s="12"/>
    </row>
    <row r="66" spans="1:10" ht="75.75" customHeight="1">
      <c r="A66" s="11" t="s">
        <v>345</v>
      </c>
      <c r="B66" s="11" t="s">
        <v>28</v>
      </c>
      <c r="C66" s="1">
        <v>2910606505</v>
      </c>
      <c r="D66" s="31" t="s">
        <v>346</v>
      </c>
      <c r="E66" s="19">
        <v>0.045</v>
      </c>
      <c r="F66" s="12">
        <f t="shared" si="0"/>
        <v>0.045</v>
      </c>
      <c r="G66" s="19">
        <v>0.045</v>
      </c>
      <c r="H66" s="12"/>
      <c r="I66" s="19"/>
      <c r="J66" s="12"/>
    </row>
    <row r="67" spans="1:10" ht="75.75" customHeight="1">
      <c r="A67" s="11" t="s">
        <v>347</v>
      </c>
      <c r="B67" s="11" t="s">
        <v>28</v>
      </c>
      <c r="C67" s="1">
        <v>2910606505</v>
      </c>
      <c r="D67" s="31" t="s">
        <v>348</v>
      </c>
      <c r="E67" s="19">
        <f>0.415+0.026</f>
        <v>0.441</v>
      </c>
      <c r="F67" s="12">
        <f t="shared" si="0"/>
        <v>0.441</v>
      </c>
      <c r="G67" s="19">
        <v>0.415</v>
      </c>
      <c r="H67" s="12"/>
      <c r="I67" s="19">
        <v>0.026</v>
      </c>
      <c r="J67" s="12"/>
    </row>
    <row r="68" spans="1:10" ht="120" customHeight="1">
      <c r="A68" s="11" t="s">
        <v>349</v>
      </c>
      <c r="B68" s="11" t="s">
        <v>28</v>
      </c>
      <c r="C68" s="1">
        <v>2910606505</v>
      </c>
      <c r="D68" s="31" t="s">
        <v>350</v>
      </c>
      <c r="E68" s="19">
        <v>0.072</v>
      </c>
      <c r="F68" s="12">
        <f t="shared" si="0"/>
        <v>0.072</v>
      </c>
      <c r="G68" s="19">
        <v>0.072</v>
      </c>
      <c r="H68" s="12"/>
      <c r="I68" s="19"/>
      <c r="J68" s="12"/>
    </row>
    <row r="69" spans="1:10" ht="82.5" customHeight="1">
      <c r="A69" s="11" t="s">
        <v>371</v>
      </c>
      <c r="B69" s="11" t="s">
        <v>373</v>
      </c>
      <c r="C69" s="1">
        <v>2234216411</v>
      </c>
      <c r="D69" s="31" t="s">
        <v>372</v>
      </c>
      <c r="E69" s="19">
        <v>2.226</v>
      </c>
      <c r="F69" s="12">
        <f t="shared" si="0"/>
        <v>2.226</v>
      </c>
      <c r="G69" s="19"/>
      <c r="H69" s="12"/>
      <c r="I69" s="19">
        <v>2.226</v>
      </c>
      <c r="J69" s="12"/>
    </row>
    <row r="70" spans="1:10" ht="78.75" customHeight="1">
      <c r="A70" s="11" t="s">
        <v>374</v>
      </c>
      <c r="B70" s="11" t="s">
        <v>375</v>
      </c>
      <c r="C70" s="1">
        <v>41323648</v>
      </c>
      <c r="D70" s="31" t="s">
        <v>282</v>
      </c>
      <c r="E70" s="19">
        <v>18.69692</v>
      </c>
      <c r="F70" s="12">
        <f t="shared" si="0"/>
        <v>18.69692</v>
      </c>
      <c r="G70" s="19"/>
      <c r="H70" s="12"/>
      <c r="I70" s="19">
        <v>18.69692</v>
      </c>
      <c r="J70" s="12"/>
    </row>
    <row r="71" spans="1:10" ht="66" customHeight="1">
      <c r="A71" s="11" t="s">
        <v>376</v>
      </c>
      <c r="B71" s="11" t="s">
        <v>318</v>
      </c>
      <c r="C71" s="1">
        <v>2168804616</v>
      </c>
      <c r="D71" s="31" t="s">
        <v>377</v>
      </c>
      <c r="E71" s="19">
        <v>5.8</v>
      </c>
      <c r="F71" s="12">
        <f t="shared" si="0"/>
        <v>5.8</v>
      </c>
      <c r="G71" s="19"/>
      <c r="H71" s="12"/>
      <c r="I71" s="19">
        <v>5.8</v>
      </c>
      <c r="J71" s="12"/>
    </row>
    <row r="72" spans="1:10" ht="72.75" customHeight="1">
      <c r="A72" s="11" t="s">
        <v>351</v>
      </c>
      <c r="B72" s="14" t="s">
        <v>53</v>
      </c>
      <c r="C72" s="1">
        <v>41224168</v>
      </c>
      <c r="D72" s="31" t="s">
        <v>352</v>
      </c>
      <c r="E72" s="19">
        <v>11.4</v>
      </c>
      <c r="F72" s="12">
        <f t="shared" si="0"/>
        <v>7.125</v>
      </c>
      <c r="G72" s="19">
        <v>7.125</v>
      </c>
      <c r="H72" s="12"/>
      <c r="I72" s="19"/>
      <c r="J72" s="12"/>
    </row>
    <row r="73" spans="1:10" ht="75" customHeight="1">
      <c r="A73" s="11" t="s">
        <v>378</v>
      </c>
      <c r="B73" s="14" t="s">
        <v>379</v>
      </c>
      <c r="C73" s="1">
        <v>2817210060</v>
      </c>
      <c r="D73" s="31" t="s">
        <v>380</v>
      </c>
      <c r="E73" s="19">
        <v>3.95</v>
      </c>
      <c r="F73" s="12">
        <f t="shared" si="0"/>
        <v>3.95</v>
      </c>
      <c r="G73" s="19"/>
      <c r="H73" s="12"/>
      <c r="I73" s="19">
        <v>3.95</v>
      </c>
      <c r="J73" s="12"/>
    </row>
    <row r="74" spans="1:10" ht="75" customHeight="1">
      <c r="A74" s="11" t="s">
        <v>381</v>
      </c>
      <c r="B74" s="11" t="s">
        <v>28</v>
      </c>
      <c r="C74" s="1">
        <v>2910606505</v>
      </c>
      <c r="D74" s="31" t="s">
        <v>382</v>
      </c>
      <c r="E74" s="19">
        <v>1.142</v>
      </c>
      <c r="F74" s="12">
        <f t="shared" si="0"/>
        <v>1.142</v>
      </c>
      <c r="G74" s="19"/>
      <c r="H74" s="12"/>
      <c r="I74" s="19">
        <v>1.142</v>
      </c>
      <c r="J74" s="12"/>
    </row>
    <row r="75" spans="1:10" ht="80.25" customHeight="1">
      <c r="A75" s="11" t="s">
        <v>353</v>
      </c>
      <c r="B75" s="14" t="s">
        <v>53</v>
      </c>
      <c r="C75" s="1">
        <v>41224168</v>
      </c>
      <c r="D75" s="31" t="s">
        <v>56</v>
      </c>
      <c r="E75" s="19">
        <v>26.52</v>
      </c>
      <c r="F75" s="12">
        <f t="shared" si="0"/>
        <v>6.9615</v>
      </c>
      <c r="G75" s="19">
        <v>6.9615</v>
      </c>
      <c r="H75" s="12"/>
      <c r="I75" s="19"/>
      <c r="J75" s="12"/>
    </row>
    <row r="76" spans="1:10" ht="78.75" customHeight="1">
      <c r="A76" s="11" t="s">
        <v>383</v>
      </c>
      <c r="B76" s="11" t="s">
        <v>28</v>
      </c>
      <c r="C76" s="1">
        <v>2910606505</v>
      </c>
      <c r="D76" s="31" t="s">
        <v>384</v>
      </c>
      <c r="E76" s="19">
        <v>0.39</v>
      </c>
      <c r="F76" s="12">
        <f t="shared" si="0"/>
        <v>0.39</v>
      </c>
      <c r="G76" s="19"/>
      <c r="H76" s="12"/>
      <c r="I76" s="19">
        <v>0.39</v>
      </c>
      <c r="J76" s="12"/>
    </row>
    <row r="77" spans="1:10" ht="94.5" customHeight="1">
      <c r="A77" s="11" t="s">
        <v>385</v>
      </c>
      <c r="B77" s="11" t="s">
        <v>28</v>
      </c>
      <c r="C77" s="1">
        <v>2910606505</v>
      </c>
      <c r="D77" s="31" t="s">
        <v>386</v>
      </c>
      <c r="E77" s="19">
        <v>0.596</v>
      </c>
      <c r="F77" s="12">
        <f t="shared" si="0"/>
        <v>0.596</v>
      </c>
      <c r="G77" s="19"/>
      <c r="H77" s="12"/>
      <c r="I77" s="19">
        <v>0.596</v>
      </c>
      <c r="J77" s="12"/>
    </row>
    <row r="78" spans="1:10" ht="76.5" customHeight="1">
      <c r="A78" s="11" t="s">
        <v>387</v>
      </c>
      <c r="B78" s="11" t="s">
        <v>28</v>
      </c>
      <c r="C78" s="1">
        <v>2910606505</v>
      </c>
      <c r="D78" s="31" t="s">
        <v>388</v>
      </c>
      <c r="E78" s="19">
        <v>0.104</v>
      </c>
      <c r="F78" s="12">
        <f t="shared" si="0"/>
        <v>0.104</v>
      </c>
      <c r="G78" s="19"/>
      <c r="H78" s="12"/>
      <c r="I78" s="19">
        <v>0.104</v>
      </c>
      <c r="J78" s="12"/>
    </row>
    <row r="79" spans="1:10" ht="77.25" customHeight="1">
      <c r="A79" s="11" t="s">
        <v>389</v>
      </c>
      <c r="B79" s="11" t="s">
        <v>155</v>
      </c>
      <c r="C79" s="1">
        <v>2251605227</v>
      </c>
      <c r="D79" s="31" t="s">
        <v>390</v>
      </c>
      <c r="E79" s="19">
        <v>5.184</v>
      </c>
      <c r="F79" s="12">
        <f t="shared" si="0"/>
        <v>5.184</v>
      </c>
      <c r="G79" s="19"/>
      <c r="H79" s="12"/>
      <c r="I79" s="19">
        <v>5.184</v>
      </c>
      <c r="J79" s="12"/>
    </row>
    <row r="80" spans="1:10" ht="77.25" customHeight="1">
      <c r="A80" s="11" t="s">
        <v>391</v>
      </c>
      <c r="B80" s="11" t="s">
        <v>182</v>
      </c>
      <c r="C80" s="28" t="s">
        <v>192</v>
      </c>
      <c r="D80" s="31" t="s">
        <v>392</v>
      </c>
      <c r="E80" s="19">
        <v>16.23</v>
      </c>
      <c r="F80" s="12">
        <f t="shared" si="0"/>
        <v>16.23</v>
      </c>
      <c r="G80" s="19"/>
      <c r="H80" s="12"/>
      <c r="I80" s="19">
        <v>16.23</v>
      </c>
      <c r="J80" s="12"/>
    </row>
    <row r="81" spans="1:10" ht="93.75">
      <c r="A81" s="11" t="s">
        <v>54</v>
      </c>
      <c r="B81" s="11" t="s">
        <v>55</v>
      </c>
      <c r="C81" s="1">
        <v>38839332</v>
      </c>
      <c r="D81" s="5" t="s">
        <v>56</v>
      </c>
      <c r="E81" s="12">
        <v>6.8796</v>
      </c>
      <c r="F81" s="12">
        <f t="shared" si="0"/>
        <v>6.8796</v>
      </c>
      <c r="G81" s="19">
        <v>6.8796</v>
      </c>
      <c r="H81" s="12"/>
      <c r="I81" s="19"/>
      <c r="J81" s="12"/>
    </row>
    <row r="82" spans="1:10" ht="114" customHeight="1">
      <c r="A82" s="11" t="s">
        <v>230</v>
      </c>
      <c r="B82" s="11" t="s">
        <v>229</v>
      </c>
      <c r="C82" s="1">
        <v>33096978</v>
      </c>
      <c r="D82" s="18" t="s">
        <v>227</v>
      </c>
      <c r="E82" s="12">
        <v>12.3147</v>
      </c>
      <c r="F82" s="12">
        <f t="shared" si="0"/>
        <v>12.3147</v>
      </c>
      <c r="G82" s="19"/>
      <c r="H82" s="12">
        <v>12.3147</v>
      </c>
      <c r="I82" s="19"/>
      <c r="J82" s="12"/>
    </row>
    <row r="83" spans="1:10" ht="56.25">
      <c r="A83" s="11" t="s">
        <v>231</v>
      </c>
      <c r="B83" s="11" t="s">
        <v>229</v>
      </c>
      <c r="C83" s="1">
        <v>33096978</v>
      </c>
      <c r="D83" s="18" t="s">
        <v>228</v>
      </c>
      <c r="E83" s="12">
        <v>11.9952</v>
      </c>
      <c r="F83" s="12">
        <f t="shared" si="0"/>
        <v>11.9952</v>
      </c>
      <c r="G83" s="19"/>
      <c r="H83" s="12">
        <v>11.9952</v>
      </c>
      <c r="I83" s="19"/>
      <c r="J83" s="12"/>
    </row>
    <row r="84" spans="1:10" ht="56.25">
      <c r="A84" s="11" t="s">
        <v>212</v>
      </c>
      <c r="B84" s="11" t="s">
        <v>213</v>
      </c>
      <c r="C84" s="1">
        <v>20509800</v>
      </c>
      <c r="D84" s="5" t="s">
        <v>214</v>
      </c>
      <c r="E84" s="12">
        <f>0.65617+2.51904</f>
        <v>3.17521</v>
      </c>
      <c r="F84" s="12">
        <f t="shared" si="0"/>
        <v>3.17521</v>
      </c>
      <c r="G84" s="19">
        <v>0.65617</v>
      </c>
      <c r="H84" s="12">
        <v>2.51904</v>
      </c>
      <c r="I84" s="19"/>
      <c r="J84" s="12"/>
    </row>
    <row r="85" spans="1:10" ht="56.25">
      <c r="A85" s="11" t="s">
        <v>330</v>
      </c>
      <c r="B85" s="11" t="s">
        <v>213</v>
      </c>
      <c r="C85" s="1">
        <v>20509800</v>
      </c>
      <c r="D85" s="5" t="s">
        <v>214</v>
      </c>
      <c r="E85" s="12">
        <v>1.5</v>
      </c>
      <c r="F85" s="12">
        <f t="shared" si="0"/>
        <v>1.5</v>
      </c>
      <c r="G85" s="19"/>
      <c r="H85" s="12">
        <v>1.5</v>
      </c>
      <c r="I85" s="19"/>
      <c r="J85" s="12"/>
    </row>
    <row r="86" spans="1:10" ht="56.25">
      <c r="A86" s="11" t="s">
        <v>332</v>
      </c>
      <c r="B86" s="11" t="s">
        <v>213</v>
      </c>
      <c r="C86" s="1">
        <v>20509800</v>
      </c>
      <c r="D86" s="5" t="s">
        <v>214</v>
      </c>
      <c r="E86" s="12">
        <v>3.74709</v>
      </c>
      <c r="F86" s="12">
        <f t="shared" si="0"/>
        <v>3.74709</v>
      </c>
      <c r="G86" s="19">
        <v>3.74709</v>
      </c>
      <c r="H86" s="12"/>
      <c r="I86" s="19"/>
      <c r="J86" s="12"/>
    </row>
    <row r="87" spans="1:10" ht="56.25">
      <c r="A87" s="11" t="s">
        <v>92</v>
      </c>
      <c r="B87" s="11" t="s">
        <v>93</v>
      </c>
      <c r="C87" s="28" t="s">
        <v>94</v>
      </c>
      <c r="D87" s="5" t="s">
        <v>95</v>
      </c>
      <c r="E87" s="12">
        <v>5.508</v>
      </c>
      <c r="F87" s="12">
        <f t="shared" si="0"/>
        <v>2.754</v>
      </c>
      <c r="G87" s="19">
        <f>0.44064+0.88128+0.47736+0.95472</f>
        <v>2.754</v>
      </c>
      <c r="H87" s="12"/>
      <c r="I87" s="19"/>
      <c r="J87" s="12"/>
    </row>
    <row r="88" spans="1:10" ht="93.75">
      <c r="A88" s="11" t="s">
        <v>232</v>
      </c>
      <c r="B88" s="11" t="s">
        <v>27</v>
      </c>
      <c r="C88" s="1" t="s">
        <v>233</v>
      </c>
      <c r="D88" s="5" t="s">
        <v>234</v>
      </c>
      <c r="E88" s="19" t="s">
        <v>235</v>
      </c>
      <c r="F88" s="12">
        <f t="shared" si="0"/>
        <v>67.61677</v>
      </c>
      <c r="G88" s="19"/>
      <c r="H88" s="12">
        <f>38.25245+29.36432</f>
        <v>67.61677</v>
      </c>
      <c r="I88" s="19"/>
      <c r="J88" s="12"/>
    </row>
    <row r="89" spans="1:10" s="2" customFormat="1" ht="18.75">
      <c r="A89" s="41" t="s">
        <v>14</v>
      </c>
      <c r="B89" s="41"/>
      <c r="C89" s="41"/>
      <c r="D89" s="41"/>
      <c r="E89" s="13">
        <f aca="true" t="shared" si="1" ref="E89:J89">SUM(E11:E88)</f>
        <v>893.0871699999998</v>
      </c>
      <c r="F89" s="13">
        <f t="shared" si="1"/>
        <v>903.73808</v>
      </c>
      <c r="G89" s="13">
        <f t="shared" si="1"/>
        <v>223.97678</v>
      </c>
      <c r="H89" s="13">
        <f t="shared" si="1"/>
        <v>117.98170999999999</v>
      </c>
      <c r="I89" s="13">
        <f t="shared" si="1"/>
        <v>561.7795900000001</v>
      </c>
      <c r="J89" s="13">
        <f t="shared" si="1"/>
        <v>0</v>
      </c>
    </row>
    <row r="90" spans="1:10" s="2" customFormat="1" ht="18.75">
      <c r="A90" s="41" t="s">
        <v>96</v>
      </c>
      <c r="B90" s="41"/>
      <c r="C90" s="41"/>
      <c r="D90" s="41"/>
      <c r="E90" s="41"/>
      <c r="F90" s="41"/>
      <c r="G90" s="41"/>
      <c r="H90" s="41"/>
      <c r="I90" s="41"/>
      <c r="J90" s="41"/>
    </row>
    <row r="91" spans="1:10" s="2" customFormat="1" ht="75">
      <c r="A91" s="11" t="s">
        <v>99</v>
      </c>
      <c r="B91" s="14" t="s">
        <v>97</v>
      </c>
      <c r="C91" s="1">
        <v>31816235</v>
      </c>
      <c r="D91" s="5" t="s">
        <v>98</v>
      </c>
      <c r="E91" s="12">
        <v>756.5</v>
      </c>
      <c r="F91" s="12">
        <f>SUM(G91:J91)</f>
        <v>295.97858</v>
      </c>
      <c r="G91" s="19">
        <f>40.86761+88.3375+38.26382+56.68277+50.35448</f>
        <v>274.50618000000003</v>
      </c>
      <c r="H91" s="12"/>
      <c r="I91" s="19">
        <f>7+14.4724</f>
        <v>21.4724</v>
      </c>
      <c r="J91" s="12"/>
    </row>
    <row r="92" spans="1:10" s="2" customFormat="1" ht="75">
      <c r="A92" s="11" t="s">
        <v>144</v>
      </c>
      <c r="B92" s="5" t="s">
        <v>146</v>
      </c>
      <c r="C92" s="1">
        <v>39190161</v>
      </c>
      <c r="D92" s="5" t="s">
        <v>145</v>
      </c>
      <c r="E92" s="12">
        <v>20.14786</v>
      </c>
      <c r="F92" s="12">
        <f>SUM(G92:J92)</f>
        <v>20.14786</v>
      </c>
      <c r="G92" s="19"/>
      <c r="H92" s="12"/>
      <c r="I92" s="19">
        <v>20.14786</v>
      </c>
      <c r="J92" s="13"/>
    </row>
    <row r="93" spans="1:10" s="2" customFormat="1" ht="116.25" customHeight="1">
      <c r="A93" s="11" t="s">
        <v>246</v>
      </c>
      <c r="B93" s="37" t="s">
        <v>245</v>
      </c>
      <c r="C93" s="1">
        <v>2684220493</v>
      </c>
      <c r="D93" s="38" t="s">
        <v>244</v>
      </c>
      <c r="E93" s="12">
        <v>15.02008</v>
      </c>
      <c r="F93" s="12">
        <f>SUM(G93:J93)</f>
        <v>15.02008</v>
      </c>
      <c r="G93" s="19">
        <v>15.02008</v>
      </c>
      <c r="H93" s="12"/>
      <c r="I93" s="19"/>
      <c r="J93" s="13"/>
    </row>
    <row r="94" spans="1:10" s="2" customFormat="1" ht="65.25" customHeight="1">
      <c r="A94" s="11" t="s">
        <v>396</v>
      </c>
      <c r="B94" s="5" t="s">
        <v>398</v>
      </c>
      <c r="C94" s="36">
        <v>2377308265</v>
      </c>
      <c r="D94" s="5" t="s">
        <v>397</v>
      </c>
      <c r="E94" s="12">
        <v>34.1241</v>
      </c>
      <c r="F94" s="12">
        <f>SUM(G94:J94)</f>
        <v>34.1241</v>
      </c>
      <c r="G94" s="19"/>
      <c r="H94" s="12"/>
      <c r="I94" s="19">
        <v>34.1241</v>
      </c>
      <c r="J94" s="13"/>
    </row>
    <row r="95" spans="1:10" s="2" customFormat="1" ht="93.75">
      <c r="A95" s="11" t="s">
        <v>232</v>
      </c>
      <c r="B95" s="33" t="s">
        <v>236</v>
      </c>
      <c r="C95" s="36">
        <v>19282260</v>
      </c>
      <c r="D95" s="34" t="s">
        <v>237</v>
      </c>
      <c r="E95" s="12" t="s">
        <v>235</v>
      </c>
      <c r="F95" s="12">
        <f>SUM(G95:J95)</f>
        <v>1.9329900000000002</v>
      </c>
      <c r="G95" s="19"/>
      <c r="H95" s="12"/>
      <c r="I95" s="19">
        <f>0.77612+1.15687</f>
        <v>1.9329900000000002</v>
      </c>
      <c r="J95" s="13"/>
    </row>
    <row r="96" spans="1:10" s="2" customFormat="1" ht="18.75">
      <c r="A96" s="41" t="s">
        <v>177</v>
      </c>
      <c r="B96" s="41"/>
      <c r="C96" s="41"/>
      <c r="D96" s="41"/>
      <c r="E96" s="30">
        <f aca="true" t="shared" si="2" ref="E96:J96">SUM(E91:E95)</f>
        <v>825.79204</v>
      </c>
      <c r="F96" s="30">
        <f t="shared" si="2"/>
        <v>367.20361</v>
      </c>
      <c r="G96" s="30">
        <f t="shared" si="2"/>
        <v>289.52626000000004</v>
      </c>
      <c r="H96" s="30">
        <f t="shared" si="2"/>
        <v>0</v>
      </c>
      <c r="I96" s="30">
        <f t="shared" si="2"/>
        <v>77.67735</v>
      </c>
      <c r="J96" s="30">
        <f t="shared" si="2"/>
        <v>0</v>
      </c>
    </row>
    <row r="97" spans="1:10" ht="18.75">
      <c r="A97" s="41" t="s">
        <v>12</v>
      </c>
      <c r="B97" s="41"/>
      <c r="C97" s="41"/>
      <c r="D97" s="41"/>
      <c r="E97" s="41"/>
      <c r="F97" s="41"/>
      <c r="G97" s="41"/>
      <c r="H97" s="41"/>
      <c r="I97" s="41"/>
      <c r="J97" s="41"/>
    </row>
    <row r="98" spans="1:10" ht="112.5">
      <c r="A98" s="11" t="s">
        <v>59</v>
      </c>
      <c r="B98" s="11" t="s">
        <v>57</v>
      </c>
      <c r="C98" s="1">
        <v>30481856</v>
      </c>
      <c r="D98" s="18" t="s">
        <v>33</v>
      </c>
      <c r="E98" s="23">
        <v>736.57</v>
      </c>
      <c r="F98" s="12">
        <f aca="true" t="shared" si="3" ref="F98:F136">SUM(G98:J98)</f>
        <v>381.57606999999996</v>
      </c>
      <c r="G98" s="19">
        <f>23.63088+6.49686+47.34196+50.95587+38.67412</f>
        <v>167.09969</v>
      </c>
      <c r="H98" s="12"/>
      <c r="I98" s="19">
        <f>40.66581-3.93848+60.44028+60.37173+17.09624+14.80122+25.03958</f>
        <v>214.47637999999998</v>
      </c>
      <c r="J98" s="12"/>
    </row>
    <row r="99" spans="1:10" ht="93.75">
      <c r="A99" s="11" t="s">
        <v>58</v>
      </c>
      <c r="B99" s="11" t="s">
        <v>60</v>
      </c>
      <c r="C99" s="1">
        <v>34407781</v>
      </c>
      <c r="D99" s="18" t="s">
        <v>31</v>
      </c>
      <c r="E99" s="23">
        <v>13.6</v>
      </c>
      <c r="F99" s="12">
        <f t="shared" si="3"/>
        <v>13.62726</v>
      </c>
      <c r="G99" s="19">
        <v>6.81363</v>
      </c>
      <c r="H99" s="12"/>
      <c r="I99" s="19">
        <v>6.81363</v>
      </c>
      <c r="J99" s="12"/>
    </row>
    <row r="100" spans="1:10" ht="56.25">
      <c r="A100" s="11" t="s">
        <v>119</v>
      </c>
      <c r="B100" s="11" t="s">
        <v>77</v>
      </c>
      <c r="C100" s="1">
        <v>2808320048</v>
      </c>
      <c r="D100" s="18" t="s">
        <v>120</v>
      </c>
      <c r="E100" s="23">
        <v>12.8205</v>
      </c>
      <c r="F100" s="12">
        <f t="shared" si="3"/>
        <v>5.3613</v>
      </c>
      <c r="G100" s="19">
        <f>0.6993+1.3986+0.6993+1.3986</f>
        <v>4.1958</v>
      </c>
      <c r="H100" s="12"/>
      <c r="I100" s="19">
        <f>0.6993+0.4662</f>
        <v>1.1655</v>
      </c>
      <c r="J100" s="12"/>
    </row>
    <row r="101" spans="1:10" ht="75">
      <c r="A101" s="11" t="s">
        <v>199</v>
      </c>
      <c r="B101" s="11" t="s">
        <v>60</v>
      </c>
      <c r="C101" s="1">
        <v>34407781</v>
      </c>
      <c r="D101" s="18" t="s">
        <v>200</v>
      </c>
      <c r="E101" s="23">
        <v>136.75</v>
      </c>
      <c r="F101" s="12">
        <f t="shared" si="3"/>
        <v>99.34200000000001</v>
      </c>
      <c r="G101" s="19">
        <f>55.59</f>
        <v>55.59</v>
      </c>
      <c r="H101" s="12"/>
      <c r="I101" s="19">
        <v>43.752</v>
      </c>
      <c r="J101" s="12"/>
    </row>
    <row r="102" spans="1:10" ht="93.75">
      <c r="A102" s="11" t="s">
        <v>114</v>
      </c>
      <c r="B102" s="11" t="s">
        <v>115</v>
      </c>
      <c r="C102" s="1">
        <v>2194012568</v>
      </c>
      <c r="D102" s="18" t="s">
        <v>113</v>
      </c>
      <c r="E102" s="23">
        <v>106.999</v>
      </c>
      <c r="F102" s="12">
        <f t="shared" si="3"/>
        <v>68.0427</v>
      </c>
      <c r="G102" s="19">
        <f>11.5071+12.98274+11.24321+10.3181</f>
        <v>46.05115</v>
      </c>
      <c r="H102" s="12"/>
      <c r="I102" s="19">
        <f>12.20423+9.78732</f>
        <v>21.99155</v>
      </c>
      <c r="J102" s="12"/>
    </row>
    <row r="103" spans="1:10" ht="117" customHeight="1">
      <c r="A103" s="11" t="s">
        <v>63</v>
      </c>
      <c r="B103" s="11" t="s">
        <v>60</v>
      </c>
      <c r="C103" s="1">
        <v>34407781</v>
      </c>
      <c r="D103" s="18" t="s">
        <v>64</v>
      </c>
      <c r="E103" s="23">
        <v>72.54</v>
      </c>
      <c r="F103" s="12">
        <f t="shared" si="3"/>
        <v>24.586800000000004</v>
      </c>
      <c r="G103" s="19">
        <f>7.95648+3.924+3.34524</f>
        <v>15.22572</v>
      </c>
      <c r="H103" s="12"/>
      <c r="I103" s="19">
        <f>2.739+3.79248+2.8296</f>
        <v>9.361080000000001</v>
      </c>
      <c r="J103" s="12"/>
    </row>
    <row r="104" spans="1:10" ht="80.25" customHeight="1">
      <c r="A104" s="11" t="s">
        <v>147</v>
      </c>
      <c r="B104" s="11" t="s">
        <v>60</v>
      </c>
      <c r="C104" s="1">
        <v>34407781</v>
      </c>
      <c r="D104" s="18" t="s">
        <v>148</v>
      </c>
      <c r="E104" s="23">
        <v>110.76</v>
      </c>
      <c r="F104" s="12">
        <f t="shared" si="3"/>
        <v>50.043800000000005</v>
      </c>
      <c r="G104" s="19">
        <f>3.01392+11.52124+8.66134+7.01452</f>
        <v>30.21102</v>
      </c>
      <c r="H104" s="12"/>
      <c r="I104" s="19">
        <f>10.05052+6.5382+3.24406</f>
        <v>19.832780000000003</v>
      </c>
      <c r="J104" s="12"/>
    </row>
    <row r="105" spans="1:10" ht="75">
      <c r="A105" s="11" t="s">
        <v>61</v>
      </c>
      <c r="B105" s="11" t="s">
        <v>60</v>
      </c>
      <c r="C105" s="1">
        <v>34407781</v>
      </c>
      <c r="D105" s="18" t="s">
        <v>62</v>
      </c>
      <c r="E105" s="23">
        <v>5.8</v>
      </c>
      <c r="F105" s="12">
        <f t="shared" si="3"/>
        <v>5.7816</v>
      </c>
      <c r="G105" s="19">
        <v>5.7816</v>
      </c>
      <c r="H105" s="12"/>
      <c r="I105" s="19"/>
      <c r="J105" s="12"/>
    </row>
    <row r="106" spans="1:10" ht="117" customHeight="1">
      <c r="A106" s="11" t="s">
        <v>65</v>
      </c>
      <c r="B106" s="11" t="s">
        <v>60</v>
      </c>
      <c r="C106" s="1">
        <v>34407781</v>
      </c>
      <c r="D106" s="18" t="s">
        <v>66</v>
      </c>
      <c r="E106" s="23">
        <v>389.034</v>
      </c>
      <c r="F106" s="12">
        <f t="shared" si="3"/>
        <v>178.31145</v>
      </c>
      <c r="G106" s="19">
        <f>13.99108+33.2979+25.74468+29.67653</f>
        <v>102.71019</v>
      </c>
      <c r="H106" s="12"/>
      <c r="I106" s="19">
        <f>4.8735+33.31383+32.49993+4.914</f>
        <v>75.60126000000001</v>
      </c>
      <c r="J106" s="12"/>
    </row>
    <row r="107" spans="1:10" ht="80.25" customHeight="1">
      <c r="A107" s="11" t="s">
        <v>149</v>
      </c>
      <c r="B107" s="11" t="s">
        <v>150</v>
      </c>
      <c r="C107" s="1">
        <v>41674955</v>
      </c>
      <c r="D107" s="18" t="s">
        <v>151</v>
      </c>
      <c r="E107" s="23">
        <v>68.3</v>
      </c>
      <c r="F107" s="12">
        <f t="shared" si="3"/>
        <v>68.30000000000001</v>
      </c>
      <c r="G107" s="19">
        <f>14.0404+4.48</f>
        <v>18.520400000000002</v>
      </c>
      <c r="H107" s="12"/>
      <c r="I107" s="19">
        <f>25.297+18.951+5.5316</f>
        <v>49.7796</v>
      </c>
      <c r="J107" s="12"/>
    </row>
    <row r="108" spans="1:10" ht="75">
      <c r="A108" s="11" t="s">
        <v>67</v>
      </c>
      <c r="B108" s="11" t="s">
        <v>68</v>
      </c>
      <c r="C108" s="1">
        <v>38197742</v>
      </c>
      <c r="D108" s="5" t="s">
        <v>32</v>
      </c>
      <c r="E108" s="12">
        <v>97.5</v>
      </c>
      <c r="F108" s="12">
        <f t="shared" si="3"/>
        <v>50.55499999999999</v>
      </c>
      <c r="G108" s="19">
        <f>6.032+7.6104+16.9316+6.062</f>
        <v>36.635999999999996</v>
      </c>
      <c r="H108" s="12"/>
      <c r="I108" s="19">
        <f>5.5925+8.3265</f>
        <v>13.919</v>
      </c>
      <c r="J108" s="12"/>
    </row>
    <row r="109" spans="1:10" ht="75">
      <c r="A109" s="11" t="s">
        <v>69</v>
      </c>
      <c r="B109" s="11" t="s">
        <v>71</v>
      </c>
      <c r="C109" s="1">
        <v>41033603</v>
      </c>
      <c r="D109" s="5" t="s">
        <v>70</v>
      </c>
      <c r="E109" s="26">
        <v>354.8322</v>
      </c>
      <c r="F109" s="12">
        <f t="shared" si="3"/>
        <v>87.65525</v>
      </c>
      <c r="G109" s="19">
        <f>3.185+28.09752+18.45378</f>
        <v>49.7363</v>
      </c>
      <c r="H109" s="12"/>
      <c r="I109" s="19">
        <f>11.57495+4.5682+11.74723+10.02857</f>
        <v>37.91895</v>
      </c>
      <c r="J109" s="12"/>
    </row>
    <row r="110" spans="1:10" ht="78" customHeight="1">
      <c r="A110" s="11" t="s">
        <v>201</v>
      </c>
      <c r="B110" s="11" t="s">
        <v>74</v>
      </c>
      <c r="C110" s="1">
        <v>42498344</v>
      </c>
      <c r="D110" s="5" t="s">
        <v>202</v>
      </c>
      <c r="E110" s="26">
        <v>30.29</v>
      </c>
      <c r="F110" s="12">
        <f t="shared" si="3"/>
        <v>4.98</v>
      </c>
      <c r="G110" s="19"/>
      <c r="H110" s="12"/>
      <c r="I110" s="19">
        <f>4.98</f>
        <v>4.98</v>
      </c>
      <c r="J110" s="12"/>
    </row>
    <row r="111" spans="1:10" ht="75">
      <c r="A111" s="11" t="s">
        <v>152</v>
      </c>
      <c r="B111" s="11" t="s">
        <v>74</v>
      </c>
      <c r="C111" s="1">
        <v>42498344</v>
      </c>
      <c r="D111" s="5" t="s">
        <v>153</v>
      </c>
      <c r="E111" s="26">
        <v>22.38</v>
      </c>
      <c r="F111" s="12">
        <f t="shared" si="3"/>
        <v>22.38</v>
      </c>
      <c r="G111" s="19">
        <f>5.595+5.595</f>
        <v>11.19</v>
      </c>
      <c r="H111" s="12"/>
      <c r="I111" s="19">
        <f>5.595+5.595</f>
        <v>11.19</v>
      </c>
      <c r="J111" s="12"/>
    </row>
    <row r="112" spans="1:10" ht="75">
      <c r="A112" s="11" t="s">
        <v>72</v>
      </c>
      <c r="B112" s="11" t="s">
        <v>74</v>
      </c>
      <c r="C112" s="1">
        <v>42498344</v>
      </c>
      <c r="D112" s="5" t="s">
        <v>73</v>
      </c>
      <c r="E112" s="12">
        <v>26.619</v>
      </c>
      <c r="F112" s="12">
        <f t="shared" si="3"/>
        <v>26.619</v>
      </c>
      <c r="G112" s="19">
        <v>26.619</v>
      </c>
      <c r="H112" s="12"/>
      <c r="I112" s="19"/>
      <c r="J112" s="12"/>
    </row>
    <row r="113" spans="1:10" ht="93.75">
      <c r="A113" s="11" t="s">
        <v>75</v>
      </c>
      <c r="B113" s="11" t="s">
        <v>77</v>
      </c>
      <c r="C113" s="1">
        <v>2808320048</v>
      </c>
      <c r="D113" s="5" t="s">
        <v>76</v>
      </c>
      <c r="E113" s="12">
        <v>18.72</v>
      </c>
      <c r="F113" s="12">
        <f t="shared" si="3"/>
        <v>18.72</v>
      </c>
      <c r="G113" s="19">
        <f>2.16+3.6</f>
        <v>5.76</v>
      </c>
      <c r="H113" s="12"/>
      <c r="I113" s="19">
        <f>4.32+4.32+3.6+0.72</f>
        <v>12.96</v>
      </c>
      <c r="J113" s="12"/>
    </row>
    <row r="114" spans="1:10" ht="75">
      <c r="A114" s="11" t="s">
        <v>154</v>
      </c>
      <c r="B114" s="11" t="s">
        <v>155</v>
      </c>
      <c r="C114" s="1">
        <v>2251605227</v>
      </c>
      <c r="D114" s="5" t="s">
        <v>156</v>
      </c>
      <c r="E114" s="12">
        <v>3.96</v>
      </c>
      <c r="F114" s="12">
        <f t="shared" si="3"/>
        <v>3.96</v>
      </c>
      <c r="G114" s="19"/>
      <c r="H114" s="12"/>
      <c r="I114" s="19">
        <v>3.96</v>
      </c>
      <c r="J114" s="12"/>
    </row>
    <row r="115" spans="1:10" ht="75">
      <c r="A115" s="11" t="s">
        <v>157</v>
      </c>
      <c r="B115" s="11" t="s">
        <v>158</v>
      </c>
      <c r="C115" s="1">
        <v>37408070</v>
      </c>
      <c r="D115" s="5" t="s">
        <v>159</v>
      </c>
      <c r="E115" s="12">
        <v>286.812</v>
      </c>
      <c r="F115" s="12">
        <f t="shared" si="3"/>
        <v>105.00659000000002</v>
      </c>
      <c r="G115" s="19">
        <f>23.4984+11.19659+10.176</f>
        <v>44.870990000000006</v>
      </c>
      <c r="H115" s="12"/>
      <c r="I115" s="19">
        <f>18.504+21.2796+10.176+10.176</f>
        <v>60.135600000000004</v>
      </c>
      <c r="J115" s="12"/>
    </row>
    <row r="116" spans="1:10" ht="115.5" customHeight="1">
      <c r="A116" s="11" t="s">
        <v>160</v>
      </c>
      <c r="B116" s="11" t="s">
        <v>162</v>
      </c>
      <c r="C116" s="1">
        <v>37521072</v>
      </c>
      <c r="D116" s="5" t="s">
        <v>161</v>
      </c>
      <c r="E116" s="12">
        <v>42.1245</v>
      </c>
      <c r="F116" s="12">
        <f t="shared" si="3"/>
        <v>42.1245</v>
      </c>
      <c r="G116" s="19"/>
      <c r="H116" s="12"/>
      <c r="I116" s="19">
        <v>42.1245</v>
      </c>
      <c r="J116" s="12"/>
    </row>
    <row r="117" spans="1:10" ht="60.75" customHeight="1">
      <c r="A117" s="11" t="s">
        <v>163</v>
      </c>
      <c r="B117" s="11" t="s">
        <v>77</v>
      </c>
      <c r="C117" s="1">
        <v>2808320048</v>
      </c>
      <c r="D117" s="5" t="s">
        <v>164</v>
      </c>
      <c r="E117" s="12">
        <v>59.2</v>
      </c>
      <c r="F117" s="12">
        <f t="shared" si="3"/>
        <v>18.6147</v>
      </c>
      <c r="G117" s="19">
        <f>1.8648+5.5944+3.7296</f>
        <v>11.1888</v>
      </c>
      <c r="H117" s="12"/>
      <c r="I117" s="19">
        <f>1.8315+3.7296+1.8648</f>
        <v>7.4258999999999995</v>
      </c>
      <c r="J117" s="12"/>
    </row>
    <row r="118" spans="1:10" ht="92.25" customHeight="1">
      <c r="A118" s="11" t="s">
        <v>166</v>
      </c>
      <c r="B118" s="11" t="s">
        <v>165</v>
      </c>
      <c r="C118" s="1">
        <v>38993915</v>
      </c>
      <c r="D118" s="5" t="s">
        <v>167</v>
      </c>
      <c r="E118" s="12">
        <v>270.96</v>
      </c>
      <c r="F118" s="12">
        <f t="shared" si="3"/>
        <v>119.96886</v>
      </c>
      <c r="G118" s="19">
        <f>20.45886+22.07128+9.6973</f>
        <v>52.22744</v>
      </c>
      <c r="H118" s="12"/>
      <c r="I118" s="19">
        <f>11.74974+29.78144+5.45962+6.5537+14.19692</f>
        <v>67.74142</v>
      </c>
      <c r="J118" s="12"/>
    </row>
    <row r="119" spans="1:10" ht="93" customHeight="1">
      <c r="A119" s="11" t="s">
        <v>187</v>
      </c>
      <c r="B119" s="11" t="s">
        <v>165</v>
      </c>
      <c r="C119" s="1">
        <v>38993915</v>
      </c>
      <c r="D119" s="5" t="s">
        <v>62</v>
      </c>
      <c r="E119" s="12">
        <v>237.6</v>
      </c>
      <c r="F119" s="12">
        <f t="shared" si="3"/>
        <v>76.032</v>
      </c>
      <c r="G119" s="19">
        <f>19.305+19.602+9.504</f>
        <v>48.410999999999994</v>
      </c>
      <c r="H119" s="12"/>
      <c r="I119" s="19">
        <f>13.365+3.564+1.188+9.504</f>
        <v>27.621000000000002</v>
      </c>
      <c r="J119" s="12"/>
    </row>
    <row r="120" spans="1:10" ht="97.5" customHeight="1">
      <c r="A120" s="11" t="s">
        <v>168</v>
      </c>
      <c r="B120" s="11" t="s">
        <v>170</v>
      </c>
      <c r="C120" s="1">
        <v>2543616535</v>
      </c>
      <c r="D120" s="5" t="s">
        <v>169</v>
      </c>
      <c r="E120" s="12">
        <v>26.7665</v>
      </c>
      <c r="F120" s="12">
        <f t="shared" si="3"/>
        <v>26.7665</v>
      </c>
      <c r="G120" s="19"/>
      <c r="H120" s="12"/>
      <c r="I120" s="19">
        <v>26.7665</v>
      </c>
      <c r="J120" s="12"/>
    </row>
    <row r="121" spans="1:10" ht="59.25" customHeight="1">
      <c r="A121" s="11" t="s">
        <v>204</v>
      </c>
      <c r="B121" s="11" t="s">
        <v>203</v>
      </c>
      <c r="C121" s="1">
        <v>3414807739</v>
      </c>
      <c r="D121" s="18" t="s">
        <v>206</v>
      </c>
      <c r="E121" s="12">
        <v>82.56</v>
      </c>
      <c r="F121" s="12">
        <f t="shared" si="3"/>
        <v>82.01158000000001</v>
      </c>
      <c r="G121" s="19">
        <f>2.9+35.52058</f>
        <v>38.42058</v>
      </c>
      <c r="H121" s="12"/>
      <c r="I121" s="19">
        <f>43.591</f>
        <v>43.591</v>
      </c>
      <c r="J121" s="12"/>
    </row>
    <row r="122" spans="1:10" ht="76.5" customHeight="1">
      <c r="A122" s="11" t="s">
        <v>205</v>
      </c>
      <c r="B122" s="11" t="s">
        <v>203</v>
      </c>
      <c r="C122" s="1">
        <v>3414807739</v>
      </c>
      <c r="D122" s="35" t="s">
        <v>207</v>
      </c>
      <c r="E122" s="12">
        <v>92.35</v>
      </c>
      <c r="F122" s="12">
        <f t="shared" si="3"/>
        <v>50.2265</v>
      </c>
      <c r="G122" s="19">
        <f>13.25+5.8+2.85</f>
        <v>21.900000000000002</v>
      </c>
      <c r="H122" s="12"/>
      <c r="I122" s="19">
        <f>20.5+7.8265</f>
        <v>28.3265</v>
      </c>
      <c r="J122" s="12"/>
    </row>
    <row r="123" spans="1:10" ht="85.5" customHeight="1">
      <c r="A123" s="11" t="s">
        <v>197</v>
      </c>
      <c r="B123" s="11" t="s">
        <v>71</v>
      </c>
      <c r="C123" s="1">
        <v>41033603</v>
      </c>
      <c r="D123" s="5" t="s">
        <v>198</v>
      </c>
      <c r="E123" s="12">
        <v>478.5</v>
      </c>
      <c r="F123" s="12">
        <f t="shared" si="3"/>
        <v>154.10613</v>
      </c>
      <c r="G123" s="19">
        <f>41.85+38.502+37.76313</f>
        <v>118.11513</v>
      </c>
      <c r="H123" s="12"/>
      <c r="I123" s="19">
        <f>35.991</f>
        <v>35.991</v>
      </c>
      <c r="J123" s="12"/>
    </row>
    <row r="124" spans="1:10" ht="115.5" customHeight="1">
      <c r="A124" s="11" t="s">
        <v>208</v>
      </c>
      <c r="B124" s="11" t="s">
        <v>170</v>
      </c>
      <c r="C124" s="1">
        <v>2543616535</v>
      </c>
      <c r="D124" s="5" t="s">
        <v>209</v>
      </c>
      <c r="E124" s="12">
        <v>22.931</v>
      </c>
      <c r="F124" s="12">
        <f t="shared" si="3"/>
        <v>11.4655</v>
      </c>
      <c r="G124" s="19"/>
      <c r="H124" s="12"/>
      <c r="I124" s="19">
        <f>11.4655</f>
        <v>11.4655</v>
      </c>
      <c r="J124" s="12"/>
    </row>
    <row r="125" spans="1:10" ht="62.25" customHeight="1">
      <c r="A125" s="11" t="s">
        <v>292</v>
      </c>
      <c r="B125" s="11" t="s">
        <v>77</v>
      </c>
      <c r="C125" s="1">
        <v>2808320048</v>
      </c>
      <c r="D125" s="5" t="s">
        <v>73</v>
      </c>
      <c r="E125" s="12">
        <v>51.88</v>
      </c>
      <c r="F125" s="12">
        <f t="shared" si="3"/>
        <v>51.879999999999995</v>
      </c>
      <c r="G125" s="19">
        <f>25.05804+26.82196</f>
        <v>51.879999999999995</v>
      </c>
      <c r="H125" s="12"/>
      <c r="I125" s="19"/>
      <c r="J125" s="12"/>
    </row>
    <row r="126" spans="1:10" ht="56.25" customHeight="1">
      <c r="A126" s="11" t="s">
        <v>248</v>
      </c>
      <c r="B126" s="11" t="s">
        <v>77</v>
      </c>
      <c r="C126" s="1">
        <v>2808320048</v>
      </c>
      <c r="D126" s="5" t="s">
        <v>247</v>
      </c>
      <c r="E126" s="12">
        <v>54.9</v>
      </c>
      <c r="F126" s="12">
        <f t="shared" si="3"/>
        <v>27.450000000000003</v>
      </c>
      <c r="G126" s="19">
        <f>9.76+17.69</f>
        <v>27.450000000000003</v>
      </c>
      <c r="H126" s="12"/>
      <c r="I126" s="19"/>
      <c r="J126" s="12"/>
    </row>
    <row r="127" spans="1:10" ht="92.25" customHeight="1">
      <c r="A127" s="11" t="s">
        <v>250</v>
      </c>
      <c r="B127" s="11" t="s">
        <v>68</v>
      </c>
      <c r="C127" s="1">
        <v>38197742</v>
      </c>
      <c r="D127" s="5" t="s">
        <v>249</v>
      </c>
      <c r="E127" s="12">
        <v>71</v>
      </c>
      <c r="F127" s="12">
        <f t="shared" si="3"/>
        <v>25.42</v>
      </c>
      <c r="G127" s="19">
        <f>11.7+13.72</f>
        <v>25.42</v>
      </c>
      <c r="H127" s="12"/>
      <c r="I127" s="19"/>
      <c r="J127" s="12"/>
    </row>
    <row r="128" spans="1:10" ht="136.5" customHeight="1">
      <c r="A128" s="11" t="s">
        <v>252</v>
      </c>
      <c r="B128" s="11" t="s">
        <v>115</v>
      </c>
      <c r="C128" s="1">
        <v>2194012568</v>
      </c>
      <c r="D128" s="5" t="s">
        <v>251</v>
      </c>
      <c r="E128" s="12">
        <v>379.5</v>
      </c>
      <c r="F128" s="12">
        <f t="shared" si="3"/>
        <v>206.40800000000002</v>
      </c>
      <c r="G128" s="19">
        <f>72.5238+97.15404</f>
        <v>169.67784</v>
      </c>
      <c r="H128" s="12"/>
      <c r="I128" s="19">
        <f>36.73016</f>
        <v>36.73016</v>
      </c>
      <c r="J128" s="12"/>
    </row>
    <row r="129" spans="1:10" ht="79.5" customHeight="1">
      <c r="A129" s="11" t="s">
        <v>293</v>
      </c>
      <c r="B129" s="11" t="s">
        <v>155</v>
      </c>
      <c r="C129" s="1">
        <v>2251605227</v>
      </c>
      <c r="D129" s="5" t="s">
        <v>294</v>
      </c>
      <c r="E129" s="12">
        <v>28.75</v>
      </c>
      <c r="F129" s="12">
        <f t="shared" si="3"/>
        <v>28.75</v>
      </c>
      <c r="G129" s="19">
        <v>28.75</v>
      </c>
      <c r="H129" s="12"/>
      <c r="I129" s="19"/>
      <c r="J129" s="12"/>
    </row>
    <row r="130" spans="1:10" ht="93" customHeight="1">
      <c r="A130" s="11" t="s">
        <v>295</v>
      </c>
      <c r="B130" s="11" t="s">
        <v>296</v>
      </c>
      <c r="C130" s="1">
        <v>2903605615</v>
      </c>
      <c r="D130" s="5" t="s">
        <v>76</v>
      </c>
      <c r="E130" s="12">
        <v>15.6312</v>
      </c>
      <c r="F130" s="12">
        <f t="shared" si="3"/>
        <v>8.36169</v>
      </c>
      <c r="G130" s="19">
        <f>5.35569+3.006</f>
        <v>8.36169</v>
      </c>
      <c r="H130" s="12"/>
      <c r="I130" s="19"/>
      <c r="J130" s="12"/>
    </row>
    <row r="131" spans="1:10" ht="79.5" customHeight="1">
      <c r="A131" s="11" t="s">
        <v>297</v>
      </c>
      <c r="B131" s="11" t="s">
        <v>77</v>
      </c>
      <c r="C131" s="1">
        <v>2808320048</v>
      </c>
      <c r="D131" s="5" t="s">
        <v>202</v>
      </c>
      <c r="E131" s="12">
        <v>44.876</v>
      </c>
      <c r="F131" s="12">
        <f t="shared" si="3"/>
        <v>20.422</v>
      </c>
      <c r="G131" s="19">
        <v>16.702</v>
      </c>
      <c r="H131" s="12"/>
      <c r="I131" s="19">
        <f>3.72</f>
        <v>3.72</v>
      </c>
      <c r="J131" s="12"/>
    </row>
    <row r="132" spans="1:10" ht="76.5" customHeight="1">
      <c r="A132" s="11" t="s">
        <v>323</v>
      </c>
      <c r="B132" s="11" t="s">
        <v>203</v>
      </c>
      <c r="C132" s="1">
        <v>3414807739</v>
      </c>
      <c r="D132" s="5" t="s">
        <v>324</v>
      </c>
      <c r="E132" s="12">
        <v>442.2</v>
      </c>
      <c r="F132" s="12">
        <f t="shared" si="3"/>
        <v>100.9</v>
      </c>
      <c r="G132" s="19">
        <f>64.62</f>
        <v>64.62</v>
      </c>
      <c r="H132" s="12"/>
      <c r="I132" s="19">
        <f>26.8+9.48</f>
        <v>36.28</v>
      </c>
      <c r="J132" s="12"/>
    </row>
    <row r="133" spans="1:10" ht="61.5" customHeight="1">
      <c r="A133" s="11" t="s">
        <v>399</v>
      </c>
      <c r="B133" s="11" t="s">
        <v>401</v>
      </c>
      <c r="C133" s="1">
        <v>3265510172</v>
      </c>
      <c r="D133" s="5" t="s">
        <v>400</v>
      </c>
      <c r="E133" s="12">
        <v>107.76</v>
      </c>
      <c r="F133" s="12">
        <f t="shared" si="3"/>
        <v>107.76</v>
      </c>
      <c r="G133" s="19"/>
      <c r="H133" s="12"/>
      <c r="I133" s="19">
        <v>107.76</v>
      </c>
      <c r="J133" s="12"/>
    </row>
    <row r="134" spans="1:10" ht="78" customHeight="1">
      <c r="A134" s="11" t="s">
        <v>354</v>
      </c>
      <c r="B134" s="11" t="s">
        <v>155</v>
      </c>
      <c r="C134" s="1">
        <v>2251605227</v>
      </c>
      <c r="D134" s="5" t="s">
        <v>355</v>
      </c>
      <c r="E134" s="12">
        <v>11.448</v>
      </c>
      <c r="F134" s="12">
        <f t="shared" si="3"/>
        <v>11.448</v>
      </c>
      <c r="G134" s="19">
        <v>11.448</v>
      </c>
      <c r="H134" s="12"/>
      <c r="I134" s="19"/>
      <c r="J134" s="12"/>
    </row>
    <row r="135" spans="1:10" ht="44.25" customHeight="1">
      <c r="A135" s="11" t="s">
        <v>232</v>
      </c>
      <c r="B135" s="11" t="s">
        <v>412</v>
      </c>
      <c r="C135" s="1" t="s">
        <v>235</v>
      </c>
      <c r="D135" s="5" t="s">
        <v>413</v>
      </c>
      <c r="E135" s="12"/>
      <c r="F135" s="12">
        <f t="shared" si="3"/>
        <v>32.628</v>
      </c>
      <c r="G135" s="19"/>
      <c r="H135" s="12"/>
      <c r="I135" s="19">
        <v>32.628</v>
      </c>
      <c r="J135" s="12"/>
    </row>
    <row r="136" spans="1:10" ht="91.5" customHeight="1">
      <c r="A136" s="11" t="s">
        <v>232</v>
      </c>
      <c r="B136" s="11" t="s">
        <v>27</v>
      </c>
      <c r="C136" s="1" t="s">
        <v>233</v>
      </c>
      <c r="D136" s="5" t="s">
        <v>234</v>
      </c>
      <c r="E136" s="19" t="s">
        <v>235</v>
      </c>
      <c r="F136" s="12">
        <f t="shared" si="3"/>
        <v>255.38858</v>
      </c>
      <c r="G136" s="19"/>
      <c r="H136" s="12">
        <f>168.1049+87.28368</f>
        <v>255.38858</v>
      </c>
      <c r="I136" s="19"/>
      <c r="J136" s="12"/>
    </row>
    <row r="137" spans="1:10" s="2" customFormat="1" ht="18.75">
      <c r="A137" s="41" t="s">
        <v>15</v>
      </c>
      <c r="B137" s="41"/>
      <c r="C137" s="41"/>
      <c r="D137" s="41"/>
      <c r="E137" s="13">
        <f aca="true" t="shared" si="4" ref="E137:J137">SUM(E98:E136)</f>
        <v>5015.2239</v>
      </c>
      <c r="F137" s="13">
        <f t="shared" si="4"/>
        <v>2672.98136</v>
      </c>
      <c r="G137" s="13">
        <f t="shared" si="4"/>
        <v>1321.5839700000004</v>
      </c>
      <c r="H137" s="13">
        <f t="shared" si="4"/>
        <v>255.38858</v>
      </c>
      <c r="I137" s="13">
        <f t="shared" si="4"/>
        <v>1096.0088099999998</v>
      </c>
      <c r="J137" s="13">
        <f t="shared" si="4"/>
        <v>0</v>
      </c>
    </row>
    <row r="138" spans="1:10" ht="18.75">
      <c r="A138" s="41" t="s">
        <v>13</v>
      </c>
      <c r="B138" s="41"/>
      <c r="C138" s="41"/>
      <c r="D138" s="41"/>
      <c r="E138" s="41"/>
      <c r="F138" s="41"/>
      <c r="G138" s="41"/>
      <c r="H138" s="41"/>
      <c r="I138" s="41"/>
      <c r="J138" s="41"/>
    </row>
    <row r="139" spans="1:10" ht="168.75">
      <c r="A139" s="5" t="s">
        <v>78</v>
      </c>
      <c r="B139" s="11" t="s">
        <v>36</v>
      </c>
      <c r="C139" s="1">
        <v>2811012290</v>
      </c>
      <c r="D139" s="27" t="s">
        <v>79</v>
      </c>
      <c r="E139" s="19">
        <f>4.766+16.905+8.105</f>
        <v>29.776</v>
      </c>
      <c r="F139" s="12">
        <f aca="true" t="shared" si="5" ref="F139:F163">SUM(G139:J139)</f>
        <v>29.776000000000003</v>
      </c>
      <c r="G139" s="19">
        <v>4.766</v>
      </c>
      <c r="H139" s="5">
        <f>16.905+8.105</f>
        <v>25.01</v>
      </c>
      <c r="I139" s="24"/>
      <c r="J139" s="24"/>
    </row>
    <row r="140" spans="1:10" ht="65.25" customHeight="1">
      <c r="A140" s="15" t="s">
        <v>34</v>
      </c>
      <c r="B140" s="14" t="s">
        <v>26</v>
      </c>
      <c r="C140" s="1">
        <v>2708008658</v>
      </c>
      <c r="D140" s="14" t="s">
        <v>35</v>
      </c>
      <c r="E140" s="12">
        <f>0.75+2.25</f>
        <v>3</v>
      </c>
      <c r="F140" s="12">
        <f t="shared" si="5"/>
        <v>1.5</v>
      </c>
      <c r="G140" s="19">
        <f>0.25+0.25+0.25+0.25+0.25+0.25</f>
        <v>1.5</v>
      </c>
      <c r="H140" s="12"/>
      <c r="I140" s="19"/>
      <c r="J140" s="12"/>
    </row>
    <row r="141" spans="1:10" ht="63.75" customHeight="1">
      <c r="A141" s="15" t="s">
        <v>101</v>
      </c>
      <c r="B141" s="14" t="s">
        <v>25</v>
      </c>
      <c r="C141" s="1">
        <v>33794989</v>
      </c>
      <c r="D141" s="14" t="s">
        <v>100</v>
      </c>
      <c r="E141" s="12">
        <f>1.397+0.95+3.696+0.762</f>
        <v>6.805</v>
      </c>
      <c r="F141" s="12">
        <f t="shared" si="5"/>
        <v>6.805</v>
      </c>
      <c r="G141" s="19">
        <f>1.397+0.95+3.696+0.762</f>
        <v>6.805</v>
      </c>
      <c r="H141" s="12"/>
      <c r="I141" s="19"/>
      <c r="J141" s="12"/>
    </row>
    <row r="142" spans="1:10" ht="63" customHeight="1">
      <c r="A142" s="15" t="s">
        <v>83</v>
      </c>
      <c r="B142" s="14" t="s">
        <v>80</v>
      </c>
      <c r="C142" s="1" t="s">
        <v>81</v>
      </c>
      <c r="D142" s="14" t="s">
        <v>82</v>
      </c>
      <c r="E142" s="12">
        <v>1.9573</v>
      </c>
      <c r="F142" s="12">
        <f t="shared" si="5"/>
        <v>1.7152600000000002</v>
      </c>
      <c r="G142" s="19">
        <f>0.32871+0.24442+0.0651+0.22267+0.18447+0.46147+0.12523+0.08319</f>
        <v>1.7152600000000002</v>
      </c>
      <c r="H142" s="12"/>
      <c r="I142" s="19"/>
      <c r="J142" s="12"/>
    </row>
    <row r="143" spans="1:10" ht="135" customHeight="1">
      <c r="A143" s="15" t="s">
        <v>89</v>
      </c>
      <c r="B143" s="14" t="s">
        <v>87</v>
      </c>
      <c r="C143" s="28" t="s">
        <v>138</v>
      </c>
      <c r="D143" s="18" t="s">
        <v>88</v>
      </c>
      <c r="E143" s="12">
        <v>4.01958</v>
      </c>
      <c r="F143" s="12">
        <f t="shared" si="5"/>
        <v>4.01958</v>
      </c>
      <c r="G143" s="19">
        <v>4.01958</v>
      </c>
      <c r="H143" s="12"/>
      <c r="I143" s="19"/>
      <c r="J143" s="12"/>
    </row>
    <row r="144" spans="1:10" ht="75.75" customHeight="1">
      <c r="A144" s="15" t="s">
        <v>91</v>
      </c>
      <c r="B144" s="14" t="s">
        <v>87</v>
      </c>
      <c r="C144" s="28" t="s">
        <v>138</v>
      </c>
      <c r="D144" s="18" t="s">
        <v>90</v>
      </c>
      <c r="E144" s="12">
        <v>0.7344</v>
      </c>
      <c r="F144" s="12">
        <f t="shared" si="5"/>
        <v>0.7344</v>
      </c>
      <c r="G144" s="19">
        <v>0.7344</v>
      </c>
      <c r="H144" s="12"/>
      <c r="I144" s="19"/>
      <c r="J144" s="12"/>
    </row>
    <row r="145" spans="1:10" ht="187.5">
      <c r="A145" s="15" t="s">
        <v>111</v>
      </c>
      <c r="B145" s="14" t="s">
        <v>109</v>
      </c>
      <c r="C145" s="1">
        <v>38461727</v>
      </c>
      <c r="D145" s="5" t="s">
        <v>110</v>
      </c>
      <c r="E145" s="12">
        <f>2.15093+2.27042</f>
        <v>4.42135</v>
      </c>
      <c r="F145" s="12">
        <f t="shared" si="5"/>
        <v>4.42135</v>
      </c>
      <c r="G145" s="19">
        <f>2.15093+2.27042</f>
        <v>4.42135</v>
      </c>
      <c r="H145" s="12"/>
      <c r="I145" s="19"/>
      <c r="J145" s="12"/>
    </row>
    <row r="146" spans="1:10" ht="56.25" customHeight="1">
      <c r="A146" s="15" t="s">
        <v>116</v>
      </c>
      <c r="B146" s="14" t="s">
        <v>118</v>
      </c>
      <c r="C146" s="1">
        <v>2793614339</v>
      </c>
      <c r="D146" s="5" t="s">
        <v>117</v>
      </c>
      <c r="E146" s="12">
        <v>24</v>
      </c>
      <c r="F146" s="12">
        <f t="shared" si="5"/>
        <v>12</v>
      </c>
      <c r="G146" s="19">
        <f>4+8</f>
        <v>12</v>
      </c>
      <c r="H146" s="12"/>
      <c r="I146" s="19"/>
      <c r="J146" s="12"/>
    </row>
    <row r="147" spans="1:10" ht="112.5" customHeight="1">
      <c r="A147" s="15" t="s">
        <v>106</v>
      </c>
      <c r="B147" s="11" t="s">
        <v>105</v>
      </c>
      <c r="C147" s="1">
        <v>36359033</v>
      </c>
      <c r="D147" s="18" t="s">
        <v>102</v>
      </c>
      <c r="E147" s="12">
        <f>12+12</f>
        <v>24</v>
      </c>
      <c r="F147" s="12">
        <f t="shared" si="5"/>
        <v>24</v>
      </c>
      <c r="G147" s="19">
        <f>12+12</f>
        <v>24</v>
      </c>
      <c r="H147" s="12"/>
      <c r="I147" s="19"/>
      <c r="J147" s="12"/>
    </row>
    <row r="148" spans="1:10" ht="94.5" customHeight="1">
      <c r="A148" s="15" t="s">
        <v>107</v>
      </c>
      <c r="B148" s="11" t="s">
        <v>105</v>
      </c>
      <c r="C148" s="1">
        <v>36359033</v>
      </c>
      <c r="D148" s="18" t="s">
        <v>103</v>
      </c>
      <c r="E148" s="12">
        <f>15.984+15.984</f>
        <v>31.968</v>
      </c>
      <c r="F148" s="12">
        <f t="shared" si="5"/>
        <v>31.968</v>
      </c>
      <c r="G148" s="19">
        <f>15.984+15.984</f>
        <v>31.968</v>
      </c>
      <c r="H148" s="12"/>
      <c r="I148" s="19"/>
      <c r="J148" s="12"/>
    </row>
    <row r="149" spans="1:10" ht="150">
      <c r="A149" s="15" t="s">
        <v>108</v>
      </c>
      <c r="B149" s="11" t="s">
        <v>105</v>
      </c>
      <c r="C149" s="1">
        <v>36359033</v>
      </c>
      <c r="D149" s="18" t="s">
        <v>104</v>
      </c>
      <c r="E149" s="12">
        <v>3.12528</v>
      </c>
      <c r="F149" s="12">
        <f t="shared" si="5"/>
        <v>3.12528</v>
      </c>
      <c r="G149" s="19">
        <v>3.12528</v>
      </c>
      <c r="H149" s="12"/>
      <c r="I149" s="19"/>
      <c r="J149" s="12"/>
    </row>
    <row r="150" spans="1:10" ht="93.75">
      <c r="A150" s="15" t="s">
        <v>84</v>
      </c>
      <c r="B150" s="14" t="s">
        <v>86</v>
      </c>
      <c r="C150" s="28" t="s">
        <v>174</v>
      </c>
      <c r="D150" s="18" t="s">
        <v>85</v>
      </c>
      <c r="E150" s="12">
        <f>4.454+2.906</f>
        <v>7.359999999999999</v>
      </c>
      <c r="F150" s="12">
        <f t="shared" si="5"/>
        <v>7.359999999999999</v>
      </c>
      <c r="G150" s="19">
        <f>4.454+2.906</f>
        <v>7.359999999999999</v>
      </c>
      <c r="H150" s="12"/>
      <c r="I150" s="19"/>
      <c r="J150" s="12"/>
    </row>
    <row r="151" spans="1:10" ht="62.25" customHeight="1">
      <c r="A151" s="15" t="s">
        <v>223</v>
      </c>
      <c r="B151" s="14" t="s">
        <v>224</v>
      </c>
      <c r="C151" s="28" t="s">
        <v>225</v>
      </c>
      <c r="D151" s="18" t="s">
        <v>226</v>
      </c>
      <c r="E151" s="12">
        <v>11.71337</v>
      </c>
      <c r="F151" s="12">
        <f t="shared" si="5"/>
        <v>4.29478</v>
      </c>
      <c r="G151" s="19">
        <f>1.27603+0.70785+0.70786+1.60304</f>
        <v>4.29478</v>
      </c>
      <c r="H151" s="12"/>
      <c r="I151" s="19"/>
      <c r="J151" s="12"/>
    </row>
    <row r="152" spans="1:10" ht="134.25" customHeight="1">
      <c r="A152" s="15" t="s">
        <v>253</v>
      </c>
      <c r="B152" s="14" t="s">
        <v>255</v>
      </c>
      <c r="C152" s="28" t="s">
        <v>256</v>
      </c>
      <c r="D152" s="18" t="s">
        <v>254</v>
      </c>
      <c r="E152" s="12">
        <v>16.36097</v>
      </c>
      <c r="F152" s="12">
        <f t="shared" si="5"/>
        <v>16.36097</v>
      </c>
      <c r="G152" s="19">
        <v>16.36097</v>
      </c>
      <c r="H152" s="12"/>
      <c r="I152" s="19"/>
      <c r="J152" s="12"/>
    </row>
    <row r="153" spans="1:10" ht="93.75" customHeight="1">
      <c r="A153" s="15" t="s">
        <v>307</v>
      </c>
      <c r="B153" s="14" t="s">
        <v>309</v>
      </c>
      <c r="C153" s="28" t="s">
        <v>310</v>
      </c>
      <c r="D153" s="18" t="s">
        <v>308</v>
      </c>
      <c r="E153" s="12">
        <v>2.4</v>
      </c>
      <c r="F153" s="12">
        <f t="shared" si="5"/>
        <v>2.4</v>
      </c>
      <c r="G153" s="19">
        <v>2.4</v>
      </c>
      <c r="H153" s="12"/>
      <c r="I153" s="19"/>
      <c r="J153" s="12"/>
    </row>
    <row r="154" spans="1:10" ht="97.5" customHeight="1">
      <c r="A154" s="15" t="s">
        <v>311</v>
      </c>
      <c r="B154" s="11" t="s">
        <v>105</v>
      </c>
      <c r="C154" s="1">
        <v>36359033</v>
      </c>
      <c r="D154" s="18" t="s">
        <v>103</v>
      </c>
      <c r="E154" s="12">
        <v>19.36</v>
      </c>
      <c r="F154" s="12">
        <f t="shared" si="5"/>
        <v>19.36</v>
      </c>
      <c r="G154" s="19">
        <v>19.36</v>
      </c>
      <c r="H154" s="12"/>
      <c r="I154" s="19"/>
      <c r="J154" s="12"/>
    </row>
    <row r="155" spans="1:10" ht="97.5" customHeight="1">
      <c r="A155" s="15" t="s">
        <v>325</v>
      </c>
      <c r="B155" s="11" t="s">
        <v>42</v>
      </c>
      <c r="C155" s="1">
        <v>2387118949</v>
      </c>
      <c r="D155" s="18" t="s">
        <v>326</v>
      </c>
      <c r="E155" s="12">
        <v>29.7</v>
      </c>
      <c r="F155" s="12">
        <f t="shared" si="5"/>
        <v>29.7</v>
      </c>
      <c r="G155" s="19"/>
      <c r="H155" s="12"/>
      <c r="I155" s="19">
        <v>29.7</v>
      </c>
      <c r="J155" s="12"/>
    </row>
    <row r="156" spans="1:10" ht="114" customHeight="1">
      <c r="A156" s="15" t="s">
        <v>356</v>
      </c>
      <c r="B156" s="11" t="s">
        <v>358</v>
      </c>
      <c r="C156" s="1">
        <v>42733701</v>
      </c>
      <c r="D156" s="18" t="s">
        <v>357</v>
      </c>
      <c r="E156" s="12">
        <v>29.85</v>
      </c>
      <c r="F156" s="12">
        <f t="shared" si="5"/>
        <v>29.85</v>
      </c>
      <c r="G156" s="19">
        <v>29.85</v>
      </c>
      <c r="H156" s="12"/>
      <c r="I156" s="19"/>
      <c r="J156" s="12"/>
    </row>
    <row r="157" spans="1:10" ht="77.25" customHeight="1">
      <c r="A157" s="15" t="s">
        <v>359</v>
      </c>
      <c r="B157" s="11" t="s">
        <v>361</v>
      </c>
      <c r="C157" s="1">
        <v>42936800</v>
      </c>
      <c r="D157" s="18" t="s">
        <v>360</v>
      </c>
      <c r="E157" s="12">
        <v>11</v>
      </c>
      <c r="F157" s="12">
        <f t="shared" si="5"/>
        <v>11</v>
      </c>
      <c r="G157" s="19">
        <v>6.01</v>
      </c>
      <c r="H157" s="12">
        <v>4.99</v>
      </c>
      <c r="I157" s="19"/>
      <c r="J157" s="12"/>
    </row>
    <row r="158" spans="1:10" ht="206.25">
      <c r="A158" s="15" t="s">
        <v>222</v>
      </c>
      <c r="B158" s="14" t="s">
        <v>220</v>
      </c>
      <c r="C158" s="32">
        <v>40277858</v>
      </c>
      <c r="D158" s="14" t="s">
        <v>221</v>
      </c>
      <c r="E158" s="12">
        <v>19.849</v>
      </c>
      <c r="F158" s="12">
        <f t="shared" si="5"/>
        <v>0.649</v>
      </c>
      <c r="G158" s="19">
        <v>0.649</v>
      </c>
      <c r="H158" s="12"/>
      <c r="I158" s="19"/>
      <c r="J158" s="12"/>
    </row>
    <row r="159" spans="1:10" ht="112.5">
      <c r="A159" s="15" t="s">
        <v>298</v>
      </c>
      <c r="B159" s="14" t="s">
        <v>299</v>
      </c>
      <c r="C159" s="32">
        <v>23881078</v>
      </c>
      <c r="D159" s="14" t="s">
        <v>300</v>
      </c>
      <c r="E159" s="12">
        <v>6.63096</v>
      </c>
      <c r="F159" s="12">
        <f t="shared" si="5"/>
        <v>3.31548</v>
      </c>
      <c r="G159" s="19">
        <v>3.31548</v>
      </c>
      <c r="H159" s="12"/>
      <c r="I159" s="19"/>
      <c r="J159" s="12"/>
    </row>
    <row r="160" spans="1:10" ht="93.75">
      <c r="A160" s="15" t="s">
        <v>301</v>
      </c>
      <c r="B160" s="14" t="s">
        <v>302</v>
      </c>
      <c r="C160" s="39" t="s">
        <v>303</v>
      </c>
      <c r="D160" s="14" t="s">
        <v>304</v>
      </c>
      <c r="E160" s="12">
        <v>0.16067</v>
      </c>
      <c r="F160" s="12">
        <f t="shared" si="5"/>
        <v>0.16067</v>
      </c>
      <c r="G160" s="19">
        <v>0.16067</v>
      </c>
      <c r="H160" s="12"/>
      <c r="I160" s="19"/>
      <c r="J160" s="12"/>
    </row>
    <row r="161" spans="1:10" ht="160.5" customHeight="1">
      <c r="A161" s="15" t="s">
        <v>305</v>
      </c>
      <c r="B161" s="11" t="s">
        <v>105</v>
      </c>
      <c r="C161" s="1">
        <v>36359033</v>
      </c>
      <c r="D161" s="14" t="s">
        <v>306</v>
      </c>
      <c r="E161" s="12">
        <v>198.9</v>
      </c>
      <c r="F161" s="12">
        <f t="shared" si="5"/>
        <v>198.89999999999998</v>
      </c>
      <c r="G161" s="19">
        <f>59.67+139.23</f>
        <v>198.89999999999998</v>
      </c>
      <c r="H161" s="12"/>
      <c r="I161" s="19"/>
      <c r="J161" s="12"/>
    </row>
    <row r="162" spans="1:10" ht="75">
      <c r="A162" s="15" t="s">
        <v>178</v>
      </c>
      <c r="B162" s="14" t="s">
        <v>179</v>
      </c>
      <c r="C162" s="1">
        <v>41477040</v>
      </c>
      <c r="D162" s="5" t="s">
        <v>180</v>
      </c>
      <c r="E162" s="12">
        <f>-0.35455-0.054</f>
        <v>-0.40854999999999997</v>
      </c>
      <c r="F162" s="12">
        <f t="shared" si="5"/>
        <v>-0.40854999999999997</v>
      </c>
      <c r="G162" s="19">
        <f>-0.35455-0.054</f>
        <v>-0.40854999999999997</v>
      </c>
      <c r="H162" s="12"/>
      <c r="I162" s="19"/>
      <c r="J162" s="12"/>
    </row>
    <row r="163" spans="1:10" ht="96.75" customHeight="1">
      <c r="A163" s="15" t="s">
        <v>219</v>
      </c>
      <c r="B163" s="11" t="s">
        <v>216</v>
      </c>
      <c r="C163" s="1" t="s">
        <v>217</v>
      </c>
      <c r="D163" s="5" t="s">
        <v>218</v>
      </c>
      <c r="E163" s="12">
        <v>0.192</v>
      </c>
      <c r="F163" s="12">
        <f t="shared" si="5"/>
        <v>0.192</v>
      </c>
      <c r="G163" s="19">
        <v>0.192</v>
      </c>
      <c r="H163" s="12"/>
      <c r="I163" s="19"/>
      <c r="J163" s="12"/>
    </row>
    <row r="164" spans="1:10" s="2" customFormat="1" ht="18.75">
      <c r="A164" s="41" t="s">
        <v>16</v>
      </c>
      <c r="B164" s="41"/>
      <c r="C164" s="41"/>
      <c r="D164" s="41"/>
      <c r="E164" s="13">
        <f aca="true" t="shared" si="6" ref="E164:J164">SUM(E139:E163)</f>
        <v>486.87532999999996</v>
      </c>
      <c r="F164" s="13">
        <f t="shared" si="6"/>
        <v>443.19921999999997</v>
      </c>
      <c r="G164" s="13">
        <f t="shared" si="6"/>
        <v>383.49922000000004</v>
      </c>
      <c r="H164" s="13">
        <f t="shared" si="6"/>
        <v>30</v>
      </c>
      <c r="I164" s="13">
        <f t="shared" si="6"/>
        <v>29.7</v>
      </c>
      <c r="J164" s="13">
        <f t="shared" si="6"/>
        <v>0</v>
      </c>
    </row>
    <row r="165" spans="1:10" s="7" customFormat="1" ht="20.25">
      <c r="A165" s="41" t="s">
        <v>171</v>
      </c>
      <c r="B165" s="41"/>
      <c r="C165" s="41"/>
      <c r="D165" s="41"/>
      <c r="E165" s="41"/>
      <c r="F165" s="41"/>
      <c r="G165" s="41"/>
      <c r="H165" s="41"/>
      <c r="I165" s="41"/>
      <c r="J165" s="41"/>
    </row>
    <row r="166" spans="1:10" s="7" customFormat="1" ht="93.75">
      <c r="A166" s="15" t="s">
        <v>173</v>
      </c>
      <c r="B166" s="11" t="s">
        <v>175</v>
      </c>
      <c r="C166" s="11">
        <v>2992010518</v>
      </c>
      <c r="D166" s="11" t="s">
        <v>176</v>
      </c>
      <c r="E166" s="29">
        <v>8.5</v>
      </c>
      <c r="F166" s="29">
        <f aca="true" t="shared" si="7" ref="F166:F172">SUM(G166:J166)</f>
        <v>8.5</v>
      </c>
      <c r="G166" s="29"/>
      <c r="H166" s="29"/>
      <c r="I166" s="29">
        <v>8.5</v>
      </c>
      <c r="J166" s="29"/>
    </row>
    <row r="167" spans="1:10" s="7" customFormat="1" ht="97.5" customHeight="1">
      <c r="A167" s="15" t="s">
        <v>188</v>
      </c>
      <c r="B167" s="11" t="s">
        <v>190</v>
      </c>
      <c r="C167" s="11">
        <v>3101606212</v>
      </c>
      <c r="D167" s="11" t="s">
        <v>189</v>
      </c>
      <c r="E167" s="29">
        <v>6.3</v>
      </c>
      <c r="F167" s="29">
        <f t="shared" si="7"/>
        <v>6.3</v>
      </c>
      <c r="G167" s="29"/>
      <c r="H167" s="29"/>
      <c r="I167" s="29">
        <v>6.3</v>
      </c>
      <c r="J167" s="29"/>
    </row>
    <row r="168" spans="1:10" s="7" customFormat="1" ht="174.75" customHeight="1">
      <c r="A168" s="15" t="s">
        <v>402</v>
      </c>
      <c r="B168" s="11" t="s">
        <v>404</v>
      </c>
      <c r="C168" s="11">
        <v>40146770</v>
      </c>
      <c r="D168" s="11" t="s">
        <v>403</v>
      </c>
      <c r="E168" s="29">
        <v>9.498</v>
      </c>
      <c r="F168" s="29">
        <f t="shared" si="7"/>
        <v>9.498</v>
      </c>
      <c r="G168" s="29"/>
      <c r="H168" s="29"/>
      <c r="I168" s="29">
        <v>9.498</v>
      </c>
      <c r="J168" s="29"/>
    </row>
    <row r="169" spans="1:10" s="7" customFormat="1" ht="97.5" customHeight="1">
      <c r="A169" s="15" t="s">
        <v>327</v>
      </c>
      <c r="B169" s="11" t="s">
        <v>328</v>
      </c>
      <c r="C169" s="11">
        <v>2843514720</v>
      </c>
      <c r="D169" s="11" t="s">
        <v>329</v>
      </c>
      <c r="E169" s="29">
        <v>16.1</v>
      </c>
      <c r="F169" s="29">
        <f t="shared" si="7"/>
        <v>16.1</v>
      </c>
      <c r="G169" s="29"/>
      <c r="H169" s="29"/>
      <c r="I169" s="29">
        <v>16.1</v>
      </c>
      <c r="J169" s="29"/>
    </row>
    <row r="170" spans="1:10" s="7" customFormat="1" ht="73.5" customHeight="1">
      <c r="A170" s="15" t="s">
        <v>405</v>
      </c>
      <c r="B170" s="11" t="s">
        <v>406</v>
      </c>
      <c r="C170" s="11">
        <v>2907104937</v>
      </c>
      <c r="D170" s="11" t="s">
        <v>407</v>
      </c>
      <c r="E170" s="29">
        <v>29.95</v>
      </c>
      <c r="F170" s="29">
        <f t="shared" si="7"/>
        <v>29.95</v>
      </c>
      <c r="G170" s="29"/>
      <c r="H170" s="29"/>
      <c r="I170" s="29">
        <v>29.95</v>
      </c>
      <c r="J170" s="29"/>
    </row>
    <row r="171" spans="1:10" s="7" customFormat="1" ht="78.75" customHeight="1">
      <c r="A171" s="15" t="s">
        <v>408</v>
      </c>
      <c r="B171" s="11" t="s">
        <v>155</v>
      </c>
      <c r="C171" s="1">
        <v>2251605227</v>
      </c>
      <c r="D171" s="18" t="s">
        <v>410</v>
      </c>
      <c r="E171" s="29">
        <v>8.42</v>
      </c>
      <c r="F171" s="29">
        <f t="shared" si="7"/>
        <v>8.42</v>
      </c>
      <c r="G171" s="29"/>
      <c r="H171" s="29"/>
      <c r="I171" s="29">
        <v>8.42</v>
      </c>
      <c r="J171" s="29"/>
    </row>
    <row r="172" spans="1:10" s="7" customFormat="1" ht="118.5" customHeight="1">
      <c r="A172" s="15" t="s">
        <v>409</v>
      </c>
      <c r="B172" s="11" t="s">
        <v>155</v>
      </c>
      <c r="C172" s="1">
        <v>2251605227</v>
      </c>
      <c r="D172" s="40" t="s">
        <v>411</v>
      </c>
      <c r="E172" s="29">
        <v>25.8</v>
      </c>
      <c r="F172" s="29">
        <f t="shared" si="7"/>
        <v>25.8</v>
      </c>
      <c r="G172" s="29"/>
      <c r="H172" s="29"/>
      <c r="I172" s="29">
        <v>25.8</v>
      </c>
      <c r="J172" s="29"/>
    </row>
    <row r="173" spans="1:10" s="7" customFormat="1" ht="20.25">
      <c r="A173" s="41" t="s">
        <v>172</v>
      </c>
      <c r="B173" s="41"/>
      <c r="C173" s="41"/>
      <c r="D173" s="41"/>
      <c r="E173" s="17">
        <f>SUM(E166:E172)</f>
        <v>104.568</v>
      </c>
      <c r="F173" s="17">
        <f>SUM(F166:F172)</f>
        <v>104.568</v>
      </c>
      <c r="G173" s="17">
        <f>SUM(G166:G169)</f>
        <v>0</v>
      </c>
      <c r="H173" s="17">
        <f>SUM(H166:H169)</f>
        <v>0</v>
      </c>
      <c r="I173" s="17">
        <f>SUM(I166:I172)</f>
        <v>104.568</v>
      </c>
      <c r="J173" s="17">
        <f>SUM(J166:J169)</f>
        <v>0</v>
      </c>
    </row>
    <row r="174" spans="1:10" s="7" customFormat="1" ht="20.25">
      <c r="A174" s="48" t="s">
        <v>17</v>
      </c>
      <c r="B174" s="48"/>
      <c r="C174" s="48"/>
      <c r="D174" s="48"/>
      <c r="E174" s="17">
        <f aca="true" t="shared" si="8" ref="E174:J174">E173+E164+E137+E96+E89</f>
        <v>7325.54644</v>
      </c>
      <c r="F174" s="17">
        <f t="shared" si="8"/>
        <v>4491.69027</v>
      </c>
      <c r="G174" s="17">
        <f t="shared" si="8"/>
        <v>2218.5862300000003</v>
      </c>
      <c r="H174" s="17">
        <f t="shared" si="8"/>
        <v>403.37028999999995</v>
      </c>
      <c r="I174" s="17">
        <f t="shared" si="8"/>
        <v>1869.7337499999999</v>
      </c>
      <c r="J174" s="17">
        <f t="shared" si="8"/>
        <v>0</v>
      </c>
    </row>
    <row r="176" spans="1:10" s="7" customFormat="1" ht="20.25">
      <c r="A176" s="6" t="s">
        <v>21</v>
      </c>
      <c r="B176" s="6"/>
      <c r="C176" s="6"/>
      <c r="E176" s="47"/>
      <c r="F176" s="47"/>
      <c r="G176" s="20"/>
      <c r="H176" s="8"/>
      <c r="I176" s="47" t="s">
        <v>30</v>
      </c>
      <c r="J176" s="47"/>
    </row>
    <row r="177" spans="1:10" s="7" customFormat="1" ht="20.25">
      <c r="A177" s="6"/>
      <c r="B177" s="6"/>
      <c r="C177" s="6"/>
      <c r="E177" s="8"/>
      <c r="F177" s="8"/>
      <c r="G177" s="20"/>
      <c r="H177" s="8"/>
      <c r="I177" s="20"/>
      <c r="J177" s="8"/>
    </row>
    <row r="178" spans="1:10" s="7" customFormat="1" ht="20.25">
      <c r="A178" s="46" t="s">
        <v>22</v>
      </c>
      <c r="B178" s="46"/>
      <c r="C178" s="46"/>
      <c r="E178" s="8"/>
      <c r="F178" s="8"/>
      <c r="G178" s="20"/>
      <c r="H178" s="8"/>
      <c r="I178" s="47" t="s">
        <v>29</v>
      </c>
      <c r="J178" s="47"/>
    </row>
    <row r="179" spans="1:10" ht="18.75">
      <c r="A179" s="49" t="s">
        <v>286</v>
      </c>
      <c r="B179" s="49"/>
      <c r="C179" s="3"/>
      <c r="E179" s="3"/>
      <c r="F179" s="3"/>
      <c r="G179" s="3"/>
      <c r="H179" s="3"/>
      <c r="I179" s="3"/>
      <c r="J179" s="3"/>
    </row>
  </sheetData>
  <sheetProtection/>
  <mergeCells count="28">
    <mergeCell ref="E6:E8"/>
    <mergeCell ref="F6:J6"/>
    <mergeCell ref="G7:J7"/>
    <mergeCell ref="A179:B179"/>
    <mergeCell ref="E176:F176"/>
    <mergeCell ref="I176:J176"/>
    <mergeCell ref="A90:J90"/>
    <mergeCell ref="A165:J165"/>
    <mergeCell ref="A173:D173"/>
    <mergeCell ref="A96:D96"/>
    <mergeCell ref="A178:C178"/>
    <mergeCell ref="A137:D137"/>
    <mergeCell ref="A138:J138"/>
    <mergeCell ref="A164:D164"/>
    <mergeCell ref="I178:J178"/>
    <mergeCell ref="A89:D89"/>
    <mergeCell ref="A174:D174"/>
    <mergeCell ref="A97:J97"/>
    <mergeCell ref="A10:J10"/>
    <mergeCell ref="A1:J1"/>
    <mergeCell ref="A2:J2"/>
    <mergeCell ref="A3:J3"/>
    <mergeCell ref="A4:J4"/>
    <mergeCell ref="A6:A8"/>
    <mergeCell ref="B6:B8"/>
    <mergeCell ref="F7:F8"/>
    <mergeCell ref="C6:C8"/>
    <mergeCell ref="D6:D8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2019-07-05T09:52:50Z</cp:lastPrinted>
  <dcterms:created xsi:type="dcterms:W3CDTF">2017-03-21T09:08:29Z</dcterms:created>
  <dcterms:modified xsi:type="dcterms:W3CDTF">2019-07-05T09:53:17Z</dcterms:modified>
  <cp:category/>
  <cp:version/>
  <cp:contentType/>
  <cp:contentStatus/>
</cp:coreProperties>
</file>