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7235" windowHeight="8760" activeTab="0"/>
  </bookViews>
  <sheets>
    <sheet name="01.06" sheetId="1" r:id="rId1"/>
  </sheets>
  <definedNames>
    <definedName name="_xlnm.Print_Titles" localSheetId="0">'01.06'!$6:$9</definedName>
    <definedName name="_xlnm.Print_Area" localSheetId="0">'01.06'!$A$1:$J$142</definedName>
  </definedNames>
  <calcPr fullCalcOnLoad="1"/>
</workbook>
</file>

<file path=xl/sharedStrings.xml><?xml version="1.0" encoding="utf-8"?>
<sst xmlns="http://schemas.openxmlformats.org/spreadsheetml/2006/main" count="407" uniqueCount="332">
  <si>
    <t>Номер, дата договору</t>
  </si>
  <si>
    <t>Виконавець договору (повна назва)</t>
  </si>
  <si>
    <t>Предмет договору</t>
  </si>
  <si>
    <t>Ціна договору,   тис. грн.</t>
  </si>
  <si>
    <t>Виконання договору, тис. грн.</t>
  </si>
  <si>
    <t>загальний фонд</t>
  </si>
  <si>
    <t>спеціальний фонд (надходження від сплати за послуги, що надаються бюджетним установам)</t>
  </si>
  <si>
    <t>спеціальний фонд (інші джерела власних надходжень бюджетних установ)</t>
  </si>
  <si>
    <t>спеціальний фонд (бюджет розвитку)</t>
  </si>
  <si>
    <t>Інформація</t>
  </si>
  <si>
    <t>(назва установи (закладу)</t>
  </si>
  <si>
    <t>КЕКВ 2210 "Предмети, матеріали, обладнання та інвентар"</t>
  </si>
  <si>
    <t>КЕКВ 2230 "Продукти харчування"</t>
  </si>
  <si>
    <t>КЕКВ 2240 "Оплата послуг (крім комунальних)"</t>
  </si>
  <si>
    <t>Всього за КЕКВ 2210</t>
  </si>
  <si>
    <t>Всього за КЕКВ 2230</t>
  </si>
  <si>
    <t>Всього за КЕКВ 2240</t>
  </si>
  <si>
    <t>Разом</t>
  </si>
  <si>
    <t>Всього</t>
  </si>
  <si>
    <t>у тому числі:</t>
  </si>
  <si>
    <t>Код ЄДРПОУ (ІПН) виконавця договору</t>
  </si>
  <si>
    <t>Керівник</t>
  </si>
  <si>
    <t>Відповідальний виконавець</t>
  </si>
  <si>
    <t>Запасні частини до вантажних транспортних засобів, фургонів та легкових автомобілів</t>
  </si>
  <si>
    <t>Фізична особа-підприємець Різниченко Олександр Григорович</t>
  </si>
  <si>
    <t>Підприємство Астри" ЗМГОТРІ "Общее дело"</t>
  </si>
  <si>
    <t xml:space="preserve"> Фізична особа-підприємець Рибій Вадим Володимирович</t>
  </si>
  <si>
    <t>Комунальна установа "Веселівський психоневрологічний інтернат" Запорізької обласної ради</t>
  </si>
  <si>
    <t>Фізична особа-підприємець Різниченко Леся Валеріївна</t>
  </si>
  <si>
    <t xml:space="preserve">О.В. Маменко </t>
  </si>
  <si>
    <t>О.С.Надточій</t>
  </si>
  <si>
    <t>Продукція тваринництва та супутня продукція (яйця курячі харчові вищої категорії)</t>
  </si>
  <si>
    <t>Оброблені фрукти та овочі (мармелад, повидло, сухофрукти)</t>
  </si>
  <si>
    <t>Хлібопродукти, свіжовипечені хлібобулочні та кондитерські вироби  (Вироби хлібобулочні в асортименті)</t>
  </si>
  <si>
    <t>№ 02/40 від 12.01.18</t>
  </si>
  <si>
    <t>Послуги провайдерів (Інтернет тариф 6М)</t>
  </si>
  <si>
    <t>Фізична особа-підприємець Баглер Сергій Костянтинович</t>
  </si>
  <si>
    <t>№ 01/10  від 16.01.19</t>
  </si>
  <si>
    <t>№ 02/10  від 18.01.19</t>
  </si>
  <si>
    <t>Фурнітура різна (Похоронне приладдя)</t>
  </si>
  <si>
    <t>Комп’ютерне обладнання (Комп’ютерна миша А4 Тech G3-200N чорна бездротова)</t>
  </si>
  <si>
    <t>№ 03/10  від 21.01.19</t>
  </si>
  <si>
    <t>Фізична особа-підприємець Столярова Тетяна Євгенівна</t>
  </si>
  <si>
    <t>№ 08/10  від 18.01.19</t>
  </si>
  <si>
    <t>Мішки та пакети (Мішки)</t>
  </si>
  <si>
    <t>№ 09/10  від 18.01.19</t>
  </si>
  <si>
    <t>Вентиляційне обладнання (Гратки вентиляційні)</t>
  </si>
  <si>
    <t>№ 10/10  від 18.01.19</t>
  </si>
  <si>
    <t>Пластмасові вироби (Пластмасові вироби різні)</t>
  </si>
  <si>
    <t>№ 11/10  від 24.01.19</t>
  </si>
  <si>
    <t>Вироби з дроту (Дріт оцинкований DS06)</t>
  </si>
  <si>
    <t>№ 06/10-е  від 16.01.19</t>
  </si>
  <si>
    <t>Нафта і дистиляти (Бензин А-92, євро 5, картки на пальне; дизельне пальне. картки на пальне)</t>
  </si>
  <si>
    <t xml:space="preserve"> Товариство з обмеженою відповідальністю "ЗОГ РІТЕЙЛ"</t>
  </si>
  <si>
    <t>№ 94/10-т від 03.09.18</t>
  </si>
  <si>
    <t>Товариство з обмеженою відповідальністю "Торговий дім "Запоріжоілгруп"</t>
  </si>
  <si>
    <t>Газове паливо (Пропан скраплений, картки на пальне)</t>
  </si>
  <si>
    <t>Товариство з обмеженою відповідальністю "Агротех"</t>
  </si>
  <si>
    <t>№ 02/30-т від 08.01.19</t>
  </si>
  <si>
    <t>№ 01/30-т від 02.01.19</t>
  </si>
  <si>
    <t>Товариство з обмеженою відповідальністю "ТД "АТТІС"</t>
  </si>
  <si>
    <t>№ 08/30-т від 08.01.19</t>
  </si>
  <si>
    <t>Молоко та вершки (молоко коров’яче  пастеризоване 2.5%)</t>
  </si>
  <si>
    <t>№ 06/30-е від 08.01.19</t>
  </si>
  <si>
    <t>Сухарі та печиво; пресерви з хлібобулочних і кондитерських виробів) (печиво, пряники, вафлі)</t>
  </si>
  <si>
    <t>№ 09/30-т від 08.01.19</t>
  </si>
  <si>
    <t>Сирні продукти (Сир кисломолочний 9% ваговий; Маса сиркова з наповнювачем 16.5-23% ; Сир твердий 50% )</t>
  </si>
  <si>
    <t>№ 11/30-т від 15.01.19</t>
  </si>
  <si>
    <t>Товариство з додатковою відповідальністю "ЕкоФуд Днепр"</t>
  </si>
  <si>
    <t>№ 12/30-т від 11.01.19</t>
  </si>
  <si>
    <t>М'ясо (м'ясо куряче; та потрухи різни)</t>
  </si>
  <si>
    <t>Товариство з обмеженою відповідальністю "Запоріжінвестторг"</t>
  </si>
  <si>
    <t>№ 16/30-е від 16.01.19</t>
  </si>
  <si>
    <t>Рафіновані олії та жири ( Олія соняшникова рафінована)</t>
  </si>
  <si>
    <t>Товариство з обмеженою відповідальністю "ГУД ШЕФ"</t>
  </si>
  <si>
    <t>№ 17/30-е від 14.01.19</t>
  </si>
  <si>
    <t>Продукція тваринництва та супутня продукція (яйця курячі харчові 1с)</t>
  </si>
  <si>
    <t>Фізична особа-підприємець Егідес Олена Юріївна</t>
  </si>
  <si>
    <t>№ 01/40 від 24.01.19</t>
  </si>
  <si>
    <t>Послуги з ремонту і технічного обслуговування мототранспортних засобів і супутнього обладнання (поточний ремонт автотранспортних засобів)</t>
  </si>
  <si>
    <t>Запорізька районна державна лікарня ветеринарної медицини</t>
  </si>
  <si>
    <t>00699164</t>
  </si>
  <si>
    <t>Ветеринарні послуги</t>
  </si>
  <si>
    <t>№ 03/40 від 11.01.19</t>
  </si>
  <si>
    <t>№ 08/40 від 07.02.19</t>
  </si>
  <si>
    <t>Послуги лікувальних закладів та супутні послуги (проведення періодичний медичних оглядів)</t>
  </si>
  <si>
    <t>Комунальний заклад "Запорізька центральна районна лікарня" Запорізької районної ради</t>
  </si>
  <si>
    <t>Публічне акціонерне товариство Страхова компанія "Оранта-Січ"</t>
  </si>
  <si>
    <t>Страхові послуги (Обов’язкове страхування цивільно-правової відповідальності власників наземних транспортних засобів)</t>
  </si>
  <si>
    <t>№ 06/02/02 від 05.02.19</t>
  </si>
  <si>
    <t>Страхові послуги (Обов’язкове страхування водіїв)</t>
  </si>
  <si>
    <t>№ 06/09/01 від 05.02.19</t>
  </si>
  <si>
    <t>№ 697 від 01.01.06</t>
  </si>
  <si>
    <t>Комунальне підприємство «Водоканал» ЗОР</t>
  </si>
  <si>
    <t>03327121</t>
  </si>
  <si>
    <t>Питна вода</t>
  </si>
  <si>
    <t>КЕКВ 2220 "Медикаменти та перев'язувальні матеріали"</t>
  </si>
  <si>
    <t>Товариство з обмеженою відповідальністю "БаДМ"</t>
  </si>
  <si>
    <t>Фармацевтична продукція (Ліки в асортименті)</t>
  </si>
  <si>
    <t>№ 01/20-т  від 22.01.19</t>
  </si>
  <si>
    <t>Технічне обслуговування і ремонт офісної техніки</t>
  </si>
  <si>
    <t>№ 02/40 від 24.01.19</t>
  </si>
  <si>
    <t>Консультаційні послуги у галузях інженерії та будівництва (Розробка проекту вогнезахисту конструкцій)</t>
  </si>
  <si>
    <t xml:space="preserve">Послуги пожежних і рятувальних служб (Роботи з вогнезахисту деревяних конструкцій) </t>
  </si>
  <si>
    <t xml:space="preserve">Послуги з ремонту і технічного обслуговування протипожежного обладнання (Технічне обслуговування та перезарядка вогнегасників) </t>
  </si>
  <si>
    <t>Товариство з обмеженою відповідальністю "Сонар-Плюс"</t>
  </si>
  <si>
    <t>№ 05/40 від 05.02.19</t>
  </si>
  <si>
    <t>№ 06/40 від 05.02.19</t>
  </si>
  <si>
    <t>№ 07/40 від 05.02.19</t>
  </si>
  <si>
    <t>Державна установа "Запорізький Обласний лабораторний центр МОЗ України"</t>
  </si>
  <si>
    <t>Послуги дослідних лабораторій (проведення профілактичних досліджень на носійство збудників кишкових інфекцій, золотистого стафілококу працівників)</t>
  </si>
  <si>
    <t>№ 61/02/27 від 07.02.19</t>
  </si>
  <si>
    <t>№ 07/10-т  від 22.01.19</t>
  </si>
  <si>
    <t>Сушена чи солена риба; риба в розсолі; копчена риба (оселедець с/с, кілька с/с, салака с/с)</t>
  </si>
  <si>
    <t>№ 05/30-е від 16.01.19</t>
  </si>
  <si>
    <t>Фізична особа-підприємець Зіборова Тетяна Василівна</t>
  </si>
  <si>
    <t>№ 04/40-е від 31.01.19</t>
  </si>
  <si>
    <t>Послуги з ремонту і технічного обслуговування техніки (Послуги з технічного обслуговування обладнання котелень)</t>
  </si>
  <si>
    <t>Фізична особа-підприємець Гордійчук Роман Олексійович</t>
  </si>
  <si>
    <t>№ 03/30-е від 08.01.19</t>
  </si>
  <si>
    <t>Харчові жири (маргарин м’який, середньо-калорійний)</t>
  </si>
  <si>
    <t>№ 12/10  від 04.02.19</t>
  </si>
  <si>
    <t>Знаряддя (Сокира 1.2кг, совкова лопата, черенки)</t>
  </si>
  <si>
    <t>№ 04/10  від 04.02.19</t>
  </si>
  <si>
    <t xml:space="preserve">Мастильні засоби (Моторна олива  Юкойл 10w40, 5л, напівсинт.) </t>
  </si>
  <si>
    <t>Фізична особа-підприємець Чуб Євгеній Валерійович</t>
  </si>
  <si>
    <t>№ 05/10  від 04.02.19</t>
  </si>
  <si>
    <t>Фарби (фарби)</t>
  </si>
  <si>
    <t>№ 13/10  від 04.02.19</t>
  </si>
  <si>
    <t>Комп’ютерне обладнання (Комп’ютерне  обладнання різне)</t>
  </si>
  <si>
    <t>№ 14/10  від 04.02.19</t>
  </si>
  <si>
    <t>Фізична особа-підприємець Коломоєць Євген Володимирович</t>
  </si>
  <si>
    <t>№ 15/10  від 31.01.19</t>
  </si>
  <si>
    <t>Основні неорганічні хімічні речовини (Карбонат натрию (сода кальцинована)</t>
  </si>
  <si>
    <t>Товариство з обмеженою відповідальністю "ГОЛДСНАБ"</t>
  </si>
  <si>
    <t>№ 16/10-е  від 11.02.19</t>
  </si>
  <si>
    <t>Туалетний папір, носові хустинки, рушники для рук і серветки (туалетний папір)</t>
  </si>
  <si>
    <t>05477592</t>
  </si>
  <si>
    <t>02307300</t>
  </si>
  <si>
    <t>ПОГ "Криворізьке УВП УТОС"</t>
  </si>
  <si>
    <t>№ 17/10  від 18.02.19</t>
  </si>
  <si>
    <t>Кухонне приладдя, товари для дому та господарства і приладдя для закладів громадського харчування (термоси харчові 1.6л метал)</t>
  </si>
  <si>
    <t>Фізична особа-підприємець Синицька Христина Романівна</t>
  </si>
  <si>
    <t>3462511822</t>
  </si>
  <si>
    <t>№ 02/20-е від 31.01.19</t>
  </si>
  <si>
    <t>Медичне обладнання (інструменти, обладнання і матеріали)</t>
  </si>
  <si>
    <t xml:space="preserve"> Товариство з обмеженою відповідальністю "Віджи .Медікал"</t>
  </si>
  <si>
    <t>№ 07/30-е від 08.01.19</t>
  </si>
  <si>
    <t>М’ясопродукти (Ковбасні вироби різних найменувань)</t>
  </si>
  <si>
    <t>№ 10/30-т від 15.01.19</t>
  </si>
  <si>
    <t>Товариство з обмеженою відповідальністю "ТРЕЙД ПРОДАКТС"</t>
  </si>
  <si>
    <t>Овочі, фрукти та горіхи (фрукти та цитрусові в асортименті)</t>
  </si>
  <si>
    <t>№ 15/30-е від 16.01.19</t>
  </si>
  <si>
    <t>Цукор і супутня продукція (Цукор)</t>
  </si>
  <si>
    <t>№ 18/30 від 06.02.19</t>
  </si>
  <si>
    <t>Фізична особа-підприємець Кондрашова Ірина Петрівна</t>
  </si>
  <si>
    <t>Заправи та приправи (сіль кухонна харчова)</t>
  </si>
  <si>
    <t>№ 19/30-т від 06.02.19</t>
  </si>
  <si>
    <t>Товариство з обмеженою  відповідальністю "СІМБІ ПЛЮС"</t>
  </si>
  <si>
    <t>Вершкове масло (масло вершкове)</t>
  </si>
  <si>
    <t>№ 20/30-е від 20.02.19</t>
  </si>
  <si>
    <t>Кава, чай та супутня продукція  (Напій розчинний "Галич-Ранок"; чай чорний байховий купажований листовий) чай)</t>
  </si>
  <si>
    <t>Приватне підприємство "Шуліка"</t>
  </si>
  <si>
    <t>№ 21/30-е від 16.02.19</t>
  </si>
  <si>
    <t>Сирі олії та тваринні і рослинні жири ( жир курячій топленний)</t>
  </si>
  <si>
    <t>Товариство з обмеженою  відповідальністю "Вільнянський молокозавод"</t>
  </si>
  <si>
    <t>№ 22/30-т від 22.02.19</t>
  </si>
  <si>
    <t>Молочні продукти різні (Кефір02,5%,  сметана 15%, ряжанка 4%)</t>
  </si>
  <si>
    <t>№ 24/30-е від 22.02.19</t>
  </si>
  <si>
    <t>Крохмалі та крохмалепродукти (крохмаль картопляний, крупа манна)</t>
  </si>
  <si>
    <t>Фізична особа-підприємець  Щербина Володимир Олександрович</t>
  </si>
  <si>
    <t>КЕКВ 3110 "Придбання обладнання і предметів довгострокового користування"</t>
  </si>
  <si>
    <t>Всього за КЕКВ 3110</t>
  </si>
  <si>
    <t>№ 01/3110-е від 16.02.19</t>
  </si>
  <si>
    <t>02006722</t>
  </si>
  <si>
    <t>Фізична особа-підприємець Єрохін Олександр Петрович</t>
  </si>
  <si>
    <t>Машини для виробництва текстильних виробів (промислова швейна машина)</t>
  </si>
  <si>
    <t>Всього за КЕКВ 2220</t>
  </si>
  <si>
    <t>№ 1200001 від 20.04.18</t>
  </si>
  <si>
    <t>КП "Благводсервіс Широківської громади"</t>
  </si>
  <si>
    <t>Утилізація сміття та поводження зі сміттям (Вивезення побутових відходів)</t>
  </si>
  <si>
    <t>Продукція для чищення (пральний порошок, підбілювачі, ополіскувач)</t>
  </si>
  <si>
    <t>Товариство з обмеженою відповідальністю "Свіком"</t>
  </si>
  <si>
    <t>Парфуми, засоби гігієни та презервативи (мило, зубна паста, щітки)</t>
  </si>
  <si>
    <t>Папір санітарно-гігієнічного призначення (Гігієнічні прокладки)</t>
  </si>
  <si>
    <t>Фізична особа-підприємець Єремчук Людмила Василівна</t>
  </si>
  <si>
    <t>Взуття чоловіче, крім спортивного та захисного (взуття чоловіче)</t>
  </si>
  <si>
    <t>№ 23/30-т від 25.02.19</t>
  </si>
  <si>
    <t>20/10-е від 12.02.19</t>
  </si>
  <si>
    <t>Машини для виробництва текстильних виробів ( прасувальний паровий прес МІК ESP-810LX)</t>
  </si>
  <si>
    <t>Фізична особа-підприємець Теслюк Михайло Миколайович</t>
  </si>
  <si>
    <t>№ 20/10-е  від 11.03.19</t>
  </si>
  <si>
    <t>37167117</t>
  </si>
  <si>
    <t>№ 21/10-е  від 11.03.19</t>
  </si>
  <si>
    <t>№ 22/10-е  від 11.03.19</t>
  </si>
  <si>
    <t>№ 23/10  від 11.03.19</t>
  </si>
  <si>
    <t>2349221560</t>
  </si>
  <si>
    <t>№ 27/30-т від 06.03.19</t>
  </si>
  <si>
    <t>Риба, рибне філе та інше м’ясо риби морожені (риба морожена)</t>
  </si>
  <si>
    <t>№ 04/30-е від 08.01.19</t>
  </si>
  <si>
    <t>Рибні консерви та інші рибні страви і пресерви (консерви рибні)</t>
  </si>
  <si>
    <t>№ 14/30-е від 16.01.19</t>
  </si>
  <si>
    <t>Какао; шоколад та цукрові кондитерські вироби (кондитерські вироби в асортименті)</t>
  </si>
  <si>
    <t>Фізична особа-підприємець Мендрик Євген Віталійович</t>
  </si>
  <si>
    <t>№ 25/30-т від 26.02.19</t>
  </si>
  <si>
    <t>№ 26/30-т від 26.02.19</t>
  </si>
  <si>
    <t>Зернові культури та картопля (картопля пізньостигла)</t>
  </si>
  <si>
    <t>Овочі, фрукти та горіхи (овочі в асортименті; квасоля; горох)</t>
  </si>
  <si>
    <t>№ 28/30-е від 25.03.19</t>
  </si>
  <si>
    <t xml:space="preserve">Продукція борошномельно-круп'яної промисловості (Борошно пшеничне в/г) </t>
  </si>
  <si>
    <t>№ 18/10  від 14.03.19</t>
  </si>
  <si>
    <t>Електричні побутові прилади (частини побутових електричних приладів - ремінь поліклиновий BANDO)</t>
  </si>
  <si>
    <t>№ 18-8-476 від 22.03.19</t>
  </si>
  <si>
    <t>Публічне акціонерне товариство "Укрпошта"</t>
  </si>
  <si>
    <t>Газети (періодичні видання)</t>
  </si>
  <si>
    <t>№ 19/10-т  від 11.03.19</t>
  </si>
  <si>
    <t>Комунальна установа "Запорізький геріатричний пансіонат" Запорізької обласної ради</t>
  </si>
  <si>
    <t>03188607</t>
  </si>
  <si>
    <t>Послуги з харчування підопічних</t>
  </si>
  <si>
    <t>№ 51 від 15.03.19</t>
  </si>
  <si>
    <t>Товариство з обмеженою відповідальністю "А-ЕНЕРГО"</t>
  </si>
  <si>
    <t>Послуги у сфері поводження з радіоактивними, токсичними, медичними та небезпечними відходами (Послуги зі збирання та знешкодження клінічних та подібних відходів)</t>
  </si>
  <si>
    <t>№ 215-2019 від 04.03.19</t>
  </si>
  <si>
    <t>№ 09/40 від 14.03.19</t>
  </si>
  <si>
    <t>Запорізька регіональна державна лабараторія ветеринарної медицини</t>
  </si>
  <si>
    <t>00718507</t>
  </si>
  <si>
    <t>Лабораторні послуги (зразки готової продукції, змиви)</t>
  </si>
  <si>
    <t>Сільськогосподарські культури, продукція товарного садівництва та рослинництва (Насіння соняшника Ясон)</t>
  </si>
  <si>
    <t>Агрохімічна продукція (Гербіцид Ланкас тер)</t>
  </si>
  <si>
    <t>Приватне підприємство "МакАгроКом"</t>
  </si>
  <si>
    <t>№ 270/2-СП від 19.03.19</t>
  </si>
  <si>
    <t>№ 271/2-СП від 19.03.19</t>
  </si>
  <si>
    <t>б/н</t>
  </si>
  <si>
    <t>03191259</t>
  </si>
  <si>
    <t>Продукція підсобного господарства (натуральна форма)</t>
  </si>
  <si>
    <t>х</t>
  </si>
  <si>
    <t>КУ «Запорізький обласний центр профілактики та боротьби зі СНІДом» ЗОР</t>
  </si>
  <si>
    <t>Медичні препарати (натуральна форма)</t>
  </si>
  <si>
    <t>№ 26/10-т  від 03.04.19</t>
  </si>
  <si>
    <t>№ 36/10-е  від 10.04.19</t>
  </si>
  <si>
    <t>№ 30/10  від 15.04.19</t>
  </si>
  <si>
    <t>Вироби з дроту (Скоби калені 12 мм)</t>
  </si>
  <si>
    <t>№ 34/10  від 15.04.19</t>
  </si>
  <si>
    <t>Механічні запасні частини, крім двигунів і частин двигунів (колесо 3102 С160R)</t>
  </si>
  <si>
    <t>Медичне обладнання, фармацевтична продукція та засоби особистої гігієни (ветеринарні препарати)</t>
  </si>
  <si>
    <t>Фізична особа-підприємець Новиков Сергій Васильович</t>
  </si>
  <si>
    <t>№ 03/20 від 20.03.19</t>
  </si>
  <si>
    <t>Макаронні вироби (Макаронні вироби в асортименті)</t>
  </si>
  <si>
    <t>№ 30/30-е від 01.04.19</t>
  </si>
  <si>
    <t xml:space="preserve">Продукція борошномельно-круп'яної промисловості (Крупи в асортименті)  </t>
  </si>
  <si>
    <t>№ 31/30-е від 04.04.19</t>
  </si>
  <si>
    <t>Оброблені фрукти та овочі (ікра, томати консервоввані, огірки консервовані, кабачки консервовані, паста томатна, фрукти консервовані)</t>
  </si>
  <si>
    <t>№ 32/30-т від 18.04.19</t>
  </si>
  <si>
    <t>№ 10/40 від 01.04.19</t>
  </si>
  <si>
    <t>Послуги з ремонту і технічного обслуговування мототранспортних засобів і супутнього обладнання (технічне обслуговування)</t>
  </si>
  <si>
    <t>Приватне мале виробничо-комерційне підприємство "Ассоль"</t>
  </si>
  <si>
    <t>20470908</t>
  </si>
  <si>
    <t>Розсадницька продукція (Ялина колюча блакитна та зелена)</t>
  </si>
  <si>
    <t>КСП "Запоріжзеленгосп" ЗОР</t>
  </si>
  <si>
    <t>03362413</t>
  </si>
  <si>
    <t>№ 35/10  від 12.04.19</t>
  </si>
  <si>
    <t>Мобільні телефони (телефон ERGO F182 Point black)</t>
  </si>
  <si>
    <t>№ 41/10  від 22.04.19</t>
  </si>
  <si>
    <t>Ароматизатори та воски (освіжувач повітря в асортименті)</t>
  </si>
  <si>
    <t>№ 24/10-е  від 11.04.19</t>
  </si>
  <si>
    <t>32013712</t>
  </si>
  <si>
    <t>Товариство з обмеженою відповідальністю "Арго-М"</t>
  </si>
  <si>
    <t>№ 29/10-е  від 04.04.19</t>
  </si>
  <si>
    <t>Продукція для чищення (засоби для миття та чищення)</t>
  </si>
  <si>
    <t>Фізична особа-підприємець Кущ Іван Олексійович</t>
  </si>
  <si>
    <t>№ 31/10  від 15.04.19</t>
  </si>
  <si>
    <t>Клеї (Клей надміцний монтажний)</t>
  </si>
  <si>
    <t>№ 32/10  від 15.04.19</t>
  </si>
  <si>
    <t>Конструкційні матеріали (Лінолеум, плитка, штукатурка)</t>
  </si>
  <si>
    <t>№ 33/10  від 15.04.19</t>
  </si>
  <si>
    <t>Кухонне приладдя, товари для дому та господарства і приладдя для закладів громадського харчування (валики для фарбування, бутлі для води)</t>
  </si>
  <si>
    <t>№ 38/10-е  від 12.04.19</t>
  </si>
  <si>
    <t>Меблі для дому (матрац односекційний поліуретановий з водонепроникної тканини на нетканому полотні (войлок), матрац ватний)</t>
  </si>
  <si>
    <t>Фізична особа-підприємець Тамбулатов Олександр Володимирович</t>
  </si>
  <si>
    <t>№ 42/10  від 23.04.19</t>
  </si>
  <si>
    <t>Електричні побутові прилади (Тени)</t>
  </si>
  <si>
    <t>№ 43/10  від 22.04.19</t>
  </si>
  <si>
    <t>Столярні вироби (вікна, віконна та дверна фурнітура)</t>
  </si>
  <si>
    <t>Приватне підприємство "Камелот"</t>
  </si>
  <si>
    <t>№ 27/10-е  від 03.04.19</t>
  </si>
  <si>
    <t>Нафта і дистиляти ( дизельне пальне. картки на пальне)</t>
  </si>
  <si>
    <t>тел.0977834155</t>
  </si>
  <si>
    <t>№ 47/10-е від 25.04.19</t>
  </si>
  <si>
    <t>Фізична особа-підприємець Безсонова Анна Григорівна</t>
  </si>
  <si>
    <t>Частини для сільськогосподарської техніки (запчастини на трактор)</t>
  </si>
  <si>
    <t>№ 48/10 від 10.05.19</t>
  </si>
  <si>
    <t>Шини для транспортних засобів великої та малої тоннажності (Шина 175/70 R13 Росава БЦ-20 "всесезон")</t>
  </si>
  <si>
    <t>№ 29/30-е від 04.04.19</t>
  </si>
  <si>
    <t>№ 33/30 від 12.05.19</t>
  </si>
  <si>
    <t>Картопля та картопляні вироби (картопля мита)</t>
  </si>
  <si>
    <t>№ 34/30-е від 08.05.19</t>
  </si>
  <si>
    <t>Фізична особа-підприємець  Коваленко Володимир Леонідович</t>
  </si>
  <si>
    <t>№ 35/30-е від 13.05.19</t>
  </si>
  <si>
    <t>№ 25Л-19-07 від 14.05.19</t>
  </si>
  <si>
    <t>Товариство з обмеженою відповідальністю науково-виробниче підприємство "Дніпроенергосталь"</t>
  </si>
  <si>
    <t>Лабораторні послуги (Лабораторні дослідження зворотних вод)</t>
  </si>
  <si>
    <t>№ 32А690-5956-19 від 15.04.19</t>
  </si>
  <si>
    <t>Публічне акціонерне товариство погазопостачанню та газифікації "ЗАПОРІЖГАЗ"</t>
  </si>
  <si>
    <t>03345716</t>
  </si>
  <si>
    <t>Відключення газопостачання</t>
  </si>
  <si>
    <r>
      <rPr>
        <i/>
        <sz val="14"/>
        <rFont val="Times New Roman"/>
        <family val="1"/>
      </rPr>
      <t xml:space="preserve"> №</t>
    </r>
    <r>
      <rPr>
        <sz val="14"/>
        <rFont val="Times New Roman"/>
        <family val="1"/>
      </rPr>
      <t>36-19/ПС від 15.05.19</t>
    </r>
  </si>
  <si>
    <t>Електромонтажні роботи ( Монтаж й установка системи пожежної сигналізації та оповіщення про пожежу КУ "Веселівський ПНІ" ЗОР корпус № 4)</t>
  </si>
  <si>
    <t>№ 11/40 від 14.05.19</t>
  </si>
  <si>
    <t xml:space="preserve">Послуги з технічного огляду та випробовувань (Послуги з визначення технічного стану КТЗ) </t>
  </si>
  <si>
    <t>Фізична особа-підприємець Шахов Олег Володимирович</t>
  </si>
  <si>
    <t>2594503773</t>
  </si>
  <si>
    <t>№ 12/40 від 21.05.19</t>
  </si>
  <si>
    <t>№ 25/10-е  від 02.04.19</t>
  </si>
  <si>
    <t>Верхній одяг різний (жіночі сукні)</t>
  </si>
  <si>
    <t>№ 28/10-е  від 03.04.19</t>
  </si>
  <si>
    <t>Вироби домашнього текстилю (комплекти постільної білизни)</t>
  </si>
  <si>
    <t>Фізична особа-підприємець Стась Антоніна Василівна</t>
  </si>
  <si>
    <t>№ 41/10-е від 18.04.19</t>
  </si>
  <si>
    <t>Фізична особа-підприємець Лис Сергій Юрійович</t>
  </si>
  <si>
    <t>Спідня білизна (спідня білизна в асортименті)</t>
  </si>
  <si>
    <t>№ 49/10-е від 15.05.19</t>
  </si>
  <si>
    <t>Товариство з обмеженою відповідальністю "ЮГХОЛОДТОРГ"</t>
  </si>
  <si>
    <t>Електричні побутові прилади (холодильник, DELFA DMF-83)</t>
  </si>
  <si>
    <t>№ 37/30-т від 27.05.19</t>
  </si>
  <si>
    <t>Овочі, фрукти та горіхи (овочі в асортименті середньостиглі)</t>
  </si>
  <si>
    <t>№ 13/40 від 14.05.19</t>
  </si>
  <si>
    <t>Поховальні та супутні послуги (Послуги з виготовлення та встановлення пам’ятників)</t>
  </si>
  <si>
    <t>№ 03/3110-е від 12.04.19</t>
  </si>
  <si>
    <t>Фізична особа-підприємець Пащенко Ніна Юріївна</t>
  </si>
  <si>
    <t>Електричні побутові прилади (Двокамерний холодильник, морозильна камера "скриня")</t>
  </si>
  <si>
    <t>№ 31-654 від 02.05.19</t>
  </si>
  <si>
    <t>про укладення договорів про закупівлю товарів, робіт і послуг та їх виконання за станом на 01.06.2019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</si>
</sst>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;[Red]#,##0"/>
    <numFmt numFmtId="179" formatCode="#,##0.000000"/>
    <numFmt numFmtId="180" formatCode="#,##0.00000"/>
    <numFmt numFmtId="181" formatCode="0.00000"/>
  </numFmts>
  <fonts count="48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176" fontId="4" fillId="0" borderId="0" xfId="0" applyNumberFormat="1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76" fontId="1" fillId="0" borderId="0" xfId="0" applyNumberFormat="1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177" fontId="1" fillId="0" borderId="10" xfId="0" applyNumberFormat="1" applyFont="1" applyBorder="1" applyAlignment="1">
      <alignment horizontal="center" vertical="center" wrapText="1"/>
    </xf>
    <xf numFmtId="177" fontId="4" fillId="0" borderId="0" xfId="0" applyNumberFormat="1" applyFont="1" applyAlignment="1">
      <alignment vertical="center" wrapText="1"/>
    </xf>
    <xf numFmtId="177" fontId="1" fillId="0" borderId="0" xfId="0" applyNumberFormat="1" applyFont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2" fontId="1" fillId="0" borderId="10" xfId="0" applyNumberFormat="1" applyFont="1" applyBorder="1" applyAlignment="1">
      <alignment horizontal="center" vertical="center"/>
    </xf>
    <xf numFmtId="177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0" fontId="47" fillId="0" borderId="0" xfId="0" applyFont="1" applyAlignment="1">
      <alignment wrapText="1"/>
    </xf>
    <xf numFmtId="0" fontId="47" fillId="0" borderId="0" xfId="0" applyFont="1" applyAlignment="1">
      <alignment vertic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176" fontId="4" fillId="0" borderId="0" xfId="0" applyNumberFormat="1" applyFont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"/>
  <sheetViews>
    <sheetView tabSelected="1" view="pageBreakPreview" zoomScale="75" zoomScaleNormal="75" zoomScaleSheetLayoutView="75" zoomScalePageLayoutView="0" workbookViewId="0" topLeftCell="A3">
      <selection activeCell="E15" sqref="E15"/>
    </sheetView>
  </sheetViews>
  <sheetFormatPr defaultColWidth="9.00390625" defaultRowHeight="12.75"/>
  <cols>
    <col min="1" max="1" width="13.125" style="9" customWidth="1"/>
    <col min="2" max="2" width="27.25390625" style="9" customWidth="1"/>
    <col min="3" max="3" width="14.875" style="4" customWidth="1"/>
    <col min="4" max="4" width="27.25390625" style="3" customWidth="1"/>
    <col min="5" max="5" width="14.625" style="10" customWidth="1"/>
    <col min="6" max="6" width="12.125" style="10" customWidth="1"/>
    <col min="7" max="7" width="15.625" style="21" customWidth="1"/>
    <col min="8" max="8" width="15.875" style="10" customWidth="1"/>
    <col min="9" max="9" width="13.875" style="21" customWidth="1"/>
    <col min="10" max="10" width="13.75390625" style="10" customWidth="1"/>
    <col min="11" max="16384" width="9.125" style="3" customWidth="1"/>
  </cols>
  <sheetData>
    <row r="1" spans="1:10" ht="18.75">
      <c r="A1" s="40" t="s">
        <v>9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8.75">
      <c r="A2" s="40" t="s">
        <v>331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8.75">
      <c r="A3" s="41" t="s">
        <v>27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ht="18.75">
      <c r="A4" s="40" t="s">
        <v>10</v>
      </c>
      <c r="B4" s="40"/>
      <c r="C4" s="40"/>
      <c r="D4" s="40"/>
      <c r="E4" s="40"/>
      <c r="F4" s="40"/>
      <c r="G4" s="40"/>
      <c r="H4" s="40"/>
      <c r="I4" s="40"/>
      <c r="J4" s="40"/>
    </row>
    <row r="6" spans="1:11" ht="18.75">
      <c r="A6" s="42" t="s">
        <v>0</v>
      </c>
      <c r="B6" s="42" t="s">
        <v>1</v>
      </c>
      <c r="C6" s="42" t="s">
        <v>20</v>
      </c>
      <c r="D6" s="42" t="s">
        <v>2</v>
      </c>
      <c r="E6" s="43" t="s">
        <v>3</v>
      </c>
      <c r="F6" s="43" t="s">
        <v>4</v>
      </c>
      <c r="G6" s="43"/>
      <c r="H6" s="43"/>
      <c r="I6" s="43"/>
      <c r="J6" s="43"/>
      <c r="K6" s="4"/>
    </row>
    <row r="7" spans="1:11" ht="18.75">
      <c r="A7" s="42"/>
      <c r="B7" s="42"/>
      <c r="C7" s="42"/>
      <c r="D7" s="42"/>
      <c r="E7" s="43"/>
      <c r="F7" s="43" t="s">
        <v>18</v>
      </c>
      <c r="G7" s="43" t="s">
        <v>19</v>
      </c>
      <c r="H7" s="43"/>
      <c r="I7" s="43"/>
      <c r="J7" s="43"/>
      <c r="K7" s="4"/>
    </row>
    <row r="8" spans="1:11" ht="168.75">
      <c r="A8" s="42"/>
      <c r="B8" s="42"/>
      <c r="C8" s="42"/>
      <c r="D8" s="42"/>
      <c r="E8" s="43"/>
      <c r="F8" s="43"/>
      <c r="G8" s="19" t="s">
        <v>5</v>
      </c>
      <c r="H8" s="12" t="s">
        <v>6</v>
      </c>
      <c r="I8" s="19" t="s">
        <v>7</v>
      </c>
      <c r="J8" s="12" t="s">
        <v>8</v>
      </c>
      <c r="K8" s="4"/>
    </row>
    <row r="9" spans="1:10" s="4" customFormat="1" ht="18.75">
      <c r="A9" s="1">
        <v>1</v>
      </c>
      <c r="B9" s="1">
        <v>2</v>
      </c>
      <c r="C9" s="1">
        <v>3</v>
      </c>
      <c r="D9" s="1">
        <v>4</v>
      </c>
      <c r="E9" s="16">
        <v>5</v>
      </c>
      <c r="F9" s="16">
        <v>6</v>
      </c>
      <c r="G9" s="22">
        <v>7</v>
      </c>
      <c r="H9" s="22">
        <v>8</v>
      </c>
      <c r="I9" s="22">
        <v>9</v>
      </c>
      <c r="J9" s="16">
        <v>10</v>
      </c>
    </row>
    <row r="10" spans="1:10" ht="18.75">
      <c r="A10" s="39" t="s">
        <v>11</v>
      </c>
      <c r="B10" s="39"/>
      <c r="C10" s="39"/>
      <c r="D10" s="39"/>
      <c r="E10" s="39"/>
      <c r="F10" s="39"/>
      <c r="G10" s="39"/>
      <c r="H10" s="39"/>
      <c r="I10" s="39"/>
      <c r="J10" s="39"/>
    </row>
    <row r="11" spans="1:10" ht="93.75">
      <c r="A11" s="11" t="s">
        <v>37</v>
      </c>
      <c r="B11" s="11" t="s">
        <v>36</v>
      </c>
      <c r="C11" s="1">
        <v>2811012290</v>
      </c>
      <c r="D11" s="25" t="s">
        <v>23</v>
      </c>
      <c r="E11" s="12">
        <f>2.45+19.646+0.65</f>
        <v>22.746</v>
      </c>
      <c r="F11" s="12">
        <f aca="true" t="shared" si="0" ref="F11:F61">SUM(G11:J11)</f>
        <v>22.746000000000002</v>
      </c>
      <c r="G11" s="19">
        <f>2.45+0.65</f>
        <v>3.1</v>
      </c>
      <c r="H11" s="12">
        <v>19.646</v>
      </c>
      <c r="I11" s="19"/>
      <c r="J11" s="12"/>
    </row>
    <row r="12" spans="1:10" ht="65.25" customHeight="1">
      <c r="A12" s="11" t="s">
        <v>38</v>
      </c>
      <c r="B12" s="11" t="s">
        <v>42</v>
      </c>
      <c r="C12" s="1">
        <v>2387118949</v>
      </c>
      <c r="D12" s="18" t="s">
        <v>39</v>
      </c>
      <c r="E12" s="12">
        <v>29.24</v>
      </c>
      <c r="F12" s="12">
        <f t="shared" si="0"/>
        <v>29.24</v>
      </c>
      <c r="G12" s="19"/>
      <c r="H12" s="12"/>
      <c r="I12" s="19">
        <v>29.24</v>
      </c>
      <c r="J12" s="12"/>
    </row>
    <row r="13" spans="1:10" ht="93.75">
      <c r="A13" s="11" t="s">
        <v>41</v>
      </c>
      <c r="B13" s="14" t="s">
        <v>25</v>
      </c>
      <c r="C13" s="1">
        <v>33794989</v>
      </c>
      <c r="D13" s="5" t="s">
        <v>40</v>
      </c>
      <c r="E13" s="12">
        <v>0.472</v>
      </c>
      <c r="F13" s="12">
        <f>SUM(G13:J13)</f>
        <v>0.472</v>
      </c>
      <c r="G13" s="19"/>
      <c r="H13" s="12"/>
      <c r="I13" s="19">
        <v>0.472</v>
      </c>
      <c r="J13" s="12"/>
    </row>
    <row r="14" spans="1:10" ht="81" customHeight="1">
      <c r="A14" s="11" t="s">
        <v>123</v>
      </c>
      <c r="B14" s="14" t="s">
        <v>125</v>
      </c>
      <c r="C14" s="1">
        <v>3241110998</v>
      </c>
      <c r="D14" s="5" t="s">
        <v>124</v>
      </c>
      <c r="E14" s="12">
        <f>4.914+1.5114</f>
        <v>6.4254</v>
      </c>
      <c r="F14" s="12">
        <f>SUM(G14:J14)</f>
        <v>6.4254</v>
      </c>
      <c r="G14" s="19">
        <f>4.914+1.5114</f>
        <v>6.4254</v>
      </c>
      <c r="H14" s="12"/>
      <c r="I14" s="19"/>
      <c r="J14" s="12"/>
    </row>
    <row r="15" spans="1:10" ht="97.5" customHeight="1">
      <c r="A15" s="11" t="s">
        <v>126</v>
      </c>
      <c r="B15" s="14" t="s">
        <v>125</v>
      </c>
      <c r="C15" s="1">
        <v>3241110998</v>
      </c>
      <c r="D15" s="5" t="s">
        <v>23</v>
      </c>
      <c r="E15" s="12">
        <f>4.3875+2.38146</f>
        <v>6.76896</v>
      </c>
      <c r="F15" s="12">
        <f>SUM(G15:J15)</f>
        <v>6.76896</v>
      </c>
      <c r="G15" s="19">
        <f>4.3875+2.38146</f>
        <v>6.76896</v>
      </c>
      <c r="H15" s="12"/>
      <c r="I15" s="19"/>
      <c r="J15" s="12"/>
    </row>
    <row r="16" spans="1:10" ht="96.75" customHeight="1">
      <c r="A16" s="11" t="s">
        <v>51</v>
      </c>
      <c r="B16" s="14" t="s">
        <v>53</v>
      </c>
      <c r="C16" s="1">
        <v>41224168</v>
      </c>
      <c r="D16" s="5" t="s">
        <v>52</v>
      </c>
      <c r="E16" s="12">
        <v>39.48</v>
      </c>
      <c r="F16" s="12">
        <f>SUM(G16:J16)</f>
        <v>39.480000000000004</v>
      </c>
      <c r="G16" s="19">
        <f>27.18+12.3</f>
        <v>39.480000000000004</v>
      </c>
      <c r="H16" s="12"/>
      <c r="I16" s="19"/>
      <c r="J16" s="12"/>
    </row>
    <row r="17" spans="1:10" ht="75" customHeight="1">
      <c r="A17" s="11" t="s">
        <v>112</v>
      </c>
      <c r="B17" s="14" t="s">
        <v>53</v>
      </c>
      <c r="C17" s="1">
        <v>41224168</v>
      </c>
      <c r="D17" s="5" t="s">
        <v>56</v>
      </c>
      <c r="E17" s="12">
        <v>16.458</v>
      </c>
      <c r="F17" s="12">
        <f>SUM(G17:J17)</f>
        <v>16.458</v>
      </c>
      <c r="G17" s="19">
        <v>16.458</v>
      </c>
      <c r="H17" s="12"/>
      <c r="I17" s="19"/>
      <c r="J17" s="12"/>
    </row>
    <row r="18" spans="1:10" ht="75">
      <c r="A18" s="11" t="s">
        <v>43</v>
      </c>
      <c r="B18" s="11" t="s">
        <v>28</v>
      </c>
      <c r="C18" s="1">
        <v>2910606505</v>
      </c>
      <c r="D18" s="5" t="s">
        <v>44</v>
      </c>
      <c r="E18" s="12">
        <v>0.12</v>
      </c>
      <c r="F18" s="12">
        <f t="shared" si="0"/>
        <v>0.12</v>
      </c>
      <c r="G18" s="19"/>
      <c r="H18" s="12"/>
      <c r="I18" s="19">
        <v>0.12</v>
      </c>
      <c r="J18" s="12"/>
    </row>
    <row r="19" spans="1:10" ht="75">
      <c r="A19" s="11" t="s">
        <v>45</v>
      </c>
      <c r="B19" s="11" t="s">
        <v>28</v>
      </c>
      <c r="C19" s="1">
        <v>2910606505</v>
      </c>
      <c r="D19" s="5" t="s">
        <v>46</v>
      </c>
      <c r="E19" s="12">
        <v>0.41</v>
      </c>
      <c r="F19" s="12">
        <f t="shared" si="0"/>
        <v>0.41</v>
      </c>
      <c r="G19" s="19"/>
      <c r="H19" s="12"/>
      <c r="I19" s="19">
        <v>0.41</v>
      </c>
      <c r="J19" s="12"/>
    </row>
    <row r="20" spans="1:10" ht="75">
      <c r="A20" s="11" t="s">
        <v>47</v>
      </c>
      <c r="B20" s="11" t="s">
        <v>28</v>
      </c>
      <c r="C20" s="1">
        <v>2910606505</v>
      </c>
      <c r="D20" s="5" t="s">
        <v>48</v>
      </c>
      <c r="E20" s="12">
        <v>0.8</v>
      </c>
      <c r="F20" s="12">
        <f t="shared" si="0"/>
        <v>0.38</v>
      </c>
      <c r="G20" s="19"/>
      <c r="H20" s="12"/>
      <c r="I20" s="19">
        <v>0.38</v>
      </c>
      <c r="J20" s="12"/>
    </row>
    <row r="21" spans="1:10" ht="93.75">
      <c r="A21" s="11" t="s">
        <v>49</v>
      </c>
      <c r="B21" s="11" t="s">
        <v>24</v>
      </c>
      <c r="C21" s="1">
        <v>2587702593</v>
      </c>
      <c r="D21" s="5" t="s">
        <v>50</v>
      </c>
      <c r="E21" s="12">
        <v>5.05</v>
      </c>
      <c r="F21" s="12">
        <f t="shared" si="0"/>
        <v>5.05</v>
      </c>
      <c r="G21" s="19">
        <v>5.05</v>
      </c>
      <c r="H21" s="12"/>
      <c r="I21" s="19"/>
      <c r="J21" s="12"/>
    </row>
    <row r="22" spans="1:10" ht="75">
      <c r="A22" s="11" t="s">
        <v>121</v>
      </c>
      <c r="B22" s="11" t="s">
        <v>28</v>
      </c>
      <c r="C22" s="1">
        <v>2910606505</v>
      </c>
      <c r="D22" s="5" t="s">
        <v>122</v>
      </c>
      <c r="E22" s="12">
        <f>2.132+0.535</f>
        <v>2.6670000000000003</v>
      </c>
      <c r="F22" s="12">
        <f t="shared" si="0"/>
        <v>2.6670000000000003</v>
      </c>
      <c r="G22" s="19">
        <f>2.132+0.535</f>
        <v>2.6670000000000003</v>
      </c>
      <c r="H22" s="12"/>
      <c r="I22" s="19"/>
      <c r="J22" s="12"/>
    </row>
    <row r="23" spans="1:10" ht="75">
      <c r="A23" s="11" t="s">
        <v>128</v>
      </c>
      <c r="B23" s="11" t="s">
        <v>28</v>
      </c>
      <c r="C23" s="1">
        <v>2910606505</v>
      </c>
      <c r="D23" s="5" t="s">
        <v>127</v>
      </c>
      <c r="E23" s="12">
        <f>0.487+0.569</f>
        <v>1.056</v>
      </c>
      <c r="F23" s="12">
        <f t="shared" si="0"/>
        <v>1.056</v>
      </c>
      <c r="G23" s="19"/>
      <c r="H23" s="12"/>
      <c r="I23" s="19">
        <f>0.487+0.569</f>
        <v>1.056</v>
      </c>
      <c r="J23" s="12"/>
    </row>
    <row r="24" spans="1:10" ht="75">
      <c r="A24" s="11" t="s">
        <v>130</v>
      </c>
      <c r="B24" s="11" t="s">
        <v>131</v>
      </c>
      <c r="C24" s="1">
        <v>2819313730</v>
      </c>
      <c r="D24" s="5" t="s">
        <v>129</v>
      </c>
      <c r="E24" s="12">
        <v>6.25</v>
      </c>
      <c r="F24" s="12">
        <f t="shared" si="0"/>
        <v>6.25</v>
      </c>
      <c r="G24" s="19"/>
      <c r="H24" s="12"/>
      <c r="I24" s="19">
        <v>6.25</v>
      </c>
      <c r="J24" s="12"/>
    </row>
    <row r="25" spans="1:10" ht="76.5" customHeight="1">
      <c r="A25" s="11" t="s">
        <v>132</v>
      </c>
      <c r="B25" s="11" t="s">
        <v>134</v>
      </c>
      <c r="C25" s="1">
        <v>41016389</v>
      </c>
      <c r="D25" s="5" t="s">
        <v>133</v>
      </c>
      <c r="E25" s="12">
        <v>2.7</v>
      </c>
      <c r="F25" s="12">
        <f t="shared" si="0"/>
        <v>2.7</v>
      </c>
      <c r="G25" s="19"/>
      <c r="H25" s="12"/>
      <c r="I25" s="19">
        <v>2.7</v>
      </c>
      <c r="J25" s="12"/>
    </row>
    <row r="26" spans="1:10" ht="95.25" customHeight="1">
      <c r="A26" s="11" t="s">
        <v>135</v>
      </c>
      <c r="B26" s="11" t="s">
        <v>139</v>
      </c>
      <c r="C26" s="28" t="s">
        <v>137</v>
      </c>
      <c r="D26" s="5" t="s">
        <v>136</v>
      </c>
      <c r="E26" s="12">
        <v>7.9</v>
      </c>
      <c r="F26" s="12">
        <f t="shared" si="0"/>
        <v>7.9</v>
      </c>
      <c r="G26" s="19"/>
      <c r="H26" s="12"/>
      <c r="I26" s="19">
        <v>7.9</v>
      </c>
      <c r="J26" s="12"/>
    </row>
    <row r="27" spans="1:10" ht="95.25" customHeight="1">
      <c r="A27" s="11" t="s">
        <v>140</v>
      </c>
      <c r="B27" s="11" t="s">
        <v>142</v>
      </c>
      <c r="C27" s="28" t="s">
        <v>143</v>
      </c>
      <c r="D27" s="5" t="s">
        <v>141</v>
      </c>
      <c r="E27" s="12">
        <v>0.843</v>
      </c>
      <c r="F27" s="12">
        <f t="shared" si="0"/>
        <v>0.843</v>
      </c>
      <c r="G27" s="19"/>
      <c r="H27" s="12"/>
      <c r="I27" s="19">
        <v>0.843</v>
      </c>
      <c r="J27" s="12"/>
    </row>
    <row r="28" spans="1:10" ht="95.25" customHeight="1">
      <c r="A28" s="11" t="s">
        <v>210</v>
      </c>
      <c r="B28" s="11" t="s">
        <v>24</v>
      </c>
      <c r="C28" s="1">
        <v>2587702593</v>
      </c>
      <c r="D28" s="5" t="s">
        <v>211</v>
      </c>
      <c r="E28" s="12">
        <v>1.07</v>
      </c>
      <c r="F28" s="12">
        <f t="shared" si="0"/>
        <v>1.07</v>
      </c>
      <c r="G28" s="19">
        <v>1.07</v>
      </c>
      <c r="H28" s="12"/>
      <c r="I28" s="19"/>
      <c r="J28" s="12"/>
    </row>
    <row r="29" spans="1:10" ht="75" customHeight="1">
      <c r="A29" s="11" t="s">
        <v>215</v>
      </c>
      <c r="B29" s="14" t="s">
        <v>53</v>
      </c>
      <c r="C29" s="1">
        <v>41224168</v>
      </c>
      <c r="D29" s="5" t="s">
        <v>56</v>
      </c>
      <c r="E29" s="12">
        <v>15.6</v>
      </c>
      <c r="F29" s="12">
        <f t="shared" si="0"/>
        <v>15.600000000000001</v>
      </c>
      <c r="G29" s="19">
        <f>9.96+5.64</f>
        <v>15.600000000000001</v>
      </c>
      <c r="H29" s="12"/>
      <c r="I29" s="19"/>
      <c r="J29" s="12"/>
    </row>
    <row r="30" spans="1:10" ht="82.5" customHeight="1">
      <c r="A30" s="11" t="s">
        <v>191</v>
      </c>
      <c r="B30" s="11" t="s">
        <v>182</v>
      </c>
      <c r="C30" s="28" t="s">
        <v>192</v>
      </c>
      <c r="D30" s="5" t="s">
        <v>181</v>
      </c>
      <c r="E30" s="12">
        <v>22.9344</v>
      </c>
      <c r="F30" s="12">
        <f t="shared" si="0"/>
        <v>22.1901</v>
      </c>
      <c r="G30" s="19"/>
      <c r="H30" s="12"/>
      <c r="I30" s="19">
        <v>22.1901</v>
      </c>
      <c r="J30" s="12"/>
    </row>
    <row r="31" spans="1:10" ht="76.5" customHeight="1">
      <c r="A31" s="11" t="s">
        <v>193</v>
      </c>
      <c r="B31" s="11" t="s">
        <v>182</v>
      </c>
      <c r="C31" s="28" t="s">
        <v>192</v>
      </c>
      <c r="D31" s="18" t="s">
        <v>183</v>
      </c>
      <c r="E31" s="19">
        <v>16.32258</v>
      </c>
      <c r="F31" s="12">
        <f t="shared" si="0"/>
        <v>16.13286</v>
      </c>
      <c r="G31" s="19"/>
      <c r="H31" s="12"/>
      <c r="I31" s="19">
        <v>16.13286</v>
      </c>
      <c r="J31" s="12"/>
    </row>
    <row r="32" spans="1:10" ht="77.25" customHeight="1">
      <c r="A32" s="11" t="s">
        <v>194</v>
      </c>
      <c r="B32" s="11" t="s">
        <v>182</v>
      </c>
      <c r="C32" s="28" t="s">
        <v>192</v>
      </c>
      <c r="D32" s="31" t="s">
        <v>184</v>
      </c>
      <c r="E32" s="19">
        <v>10.908</v>
      </c>
      <c r="F32" s="12">
        <f>SUM(G32:J32)</f>
        <v>10.908</v>
      </c>
      <c r="G32" s="19"/>
      <c r="H32" s="12"/>
      <c r="I32" s="19">
        <v>10.908</v>
      </c>
      <c r="J32" s="12"/>
    </row>
    <row r="33" spans="1:10" ht="75.75" customHeight="1">
      <c r="A33" s="11" t="s">
        <v>195</v>
      </c>
      <c r="B33" s="11" t="s">
        <v>185</v>
      </c>
      <c r="C33" s="28" t="s">
        <v>196</v>
      </c>
      <c r="D33" s="31" t="s">
        <v>186</v>
      </c>
      <c r="E33" s="19">
        <v>2.89</v>
      </c>
      <c r="F33" s="12">
        <f t="shared" si="0"/>
        <v>2.89</v>
      </c>
      <c r="G33" s="19"/>
      <c r="H33" s="12"/>
      <c r="I33" s="19">
        <v>2.89</v>
      </c>
      <c r="J33" s="12"/>
    </row>
    <row r="34" spans="1:10" ht="75.75" customHeight="1">
      <c r="A34" s="11" t="s">
        <v>264</v>
      </c>
      <c r="B34" s="11" t="s">
        <v>266</v>
      </c>
      <c r="C34" s="28" t="s">
        <v>265</v>
      </c>
      <c r="D34" s="31" t="s">
        <v>263</v>
      </c>
      <c r="E34" s="19">
        <v>2.241</v>
      </c>
      <c r="F34" s="12">
        <f t="shared" si="0"/>
        <v>2.241</v>
      </c>
      <c r="G34" s="19"/>
      <c r="H34" s="12"/>
      <c r="I34" s="19">
        <v>2.241</v>
      </c>
      <c r="J34" s="12"/>
    </row>
    <row r="35" spans="1:10" ht="75.75" customHeight="1">
      <c r="A35" s="11" t="s">
        <v>312</v>
      </c>
      <c r="B35" s="11" t="s">
        <v>185</v>
      </c>
      <c r="C35" s="28" t="s">
        <v>196</v>
      </c>
      <c r="D35" s="31" t="s">
        <v>313</v>
      </c>
      <c r="E35" s="19">
        <v>23.94</v>
      </c>
      <c r="F35" s="12">
        <f t="shared" si="0"/>
        <v>23.94</v>
      </c>
      <c r="G35" s="19"/>
      <c r="H35" s="12"/>
      <c r="I35" s="19">
        <v>23.94</v>
      </c>
      <c r="J35" s="12"/>
    </row>
    <row r="36" spans="1:10" ht="75.75" customHeight="1">
      <c r="A36" s="11" t="s">
        <v>238</v>
      </c>
      <c r="B36" s="14" t="s">
        <v>53</v>
      </c>
      <c r="C36" s="1">
        <v>41224168</v>
      </c>
      <c r="D36" s="31" t="s">
        <v>56</v>
      </c>
      <c r="E36" s="19">
        <v>29.712</v>
      </c>
      <c r="F36" s="12">
        <f t="shared" si="0"/>
        <v>20.64</v>
      </c>
      <c r="G36" s="19">
        <f>7.38+13.26</f>
        <v>20.64</v>
      </c>
      <c r="H36" s="12"/>
      <c r="I36" s="19"/>
      <c r="J36" s="12"/>
    </row>
    <row r="37" spans="1:10" ht="75.75" customHeight="1">
      <c r="A37" s="11" t="s">
        <v>284</v>
      </c>
      <c r="B37" s="14" t="s">
        <v>53</v>
      </c>
      <c r="C37" s="1">
        <v>41224168</v>
      </c>
      <c r="D37" s="31" t="s">
        <v>285</v>
      </c>
      <c r="E37" s="19">
        <v>40.23</v>
      </c>
      <c r="F37" s="12">
        <f t="shared" si="0"/>
        <v>33.374</v>
      </c>
      <c r="G37" s="19">
        <f>18.774+14.6</f>
        <v>33.374</v>
      </c>
      <c r="H37" s="12"/>
      <c r="I37" s="19"/>
      <c r="J37" s="12"/>
    </row>
    <row r="38" spans="1:10" ht="75.75" customHeight="1">
      <c r="A38" s="11" t="s">
        <v>314</v>
      </c>
      <c r="B38" s="14" t="s">
        <v>316</v>
      </c>
      <c r="C38" s="1">
        <v>1677402024</v>
      </c>
      <c r="D38" s="31" t="s">
        <v>315</v>
      </c>
      <c r="E38" s="19">
        <v>79.95</v>
      </c>
      <c r="F38" s="12">
        <f t="shared" si="0"/>
        <v>79.95</v>
      </c>
      <c r="G38" s="19"/>
      <c r="H38" s="12"/>
      <c r="I38" s="19">
        <v>79.95</v>
      </c>
      <c r="J38" s="12"/>
    </row>
    <row r="39" spans="1:10" ht="75.75" customHeight="1">
      <c r="A39" s="11" t="s">
        <v>267</v>
      </c>
      <c r="B39" s="14" t="s">
        <v>269</v>
      </c>
      <c r="C39" s="1">
        <v>2146511192</v>
      </c>
      <c r="D39" s="31" t="s">
        <v>268</v>
      </c>
      <c r="E39" s="19">
        <v>81.359</v>
      </c>
      <c r="F39" s="12">
        <f t="shared" si="0"/>
        <v>81.35726</v>
      </c>
      <c r="G39" s="19"/>
      <c r="H39" s="12"/>
      <c r="I39" s="19">
        <f>79.91726+1.44</f>
        <v>81.35726</v>
      </c>
      <c r="J39" s="12"/>
    </row>
    <row r="40" spans="1:10" ht="75.75" customHeight="1">
      <c r="A40" s="11" t="s">
        <v>240</v>
      </c>
      <c r="B40" s="11" t="s">
        <v>28</v>
      </c>
      <c r="C40" s="1">
        <v>2910606505</v>
      </c>
      <c r="D40" s="31" t="s">
        <v>241</v>
      </c>
      <c r="E40" s="19">
        <v>0.042</v>
      </c>
      <c r="F40" s="12">
        <f t="shared" si="0"/>
        <v>0.042</v>
      </c>
      <c r="G40" s="19">
        <v>0.042</v>
      </c>
      <c r="H40" s="12"/>
      <c r="I40" s="19"/>
      <c r="J40" s="12"/>
    </row>
    <row r="41" spans="1:10" ht="75.75" customHeight="1">
      <c r="A41" s="11" t="s">
        <v>270</v>
      </c>
      <c r="B41" s="11" t="s">
        <v>28</v>
      </c>
      <c r="C41" s="1">
        <v>2910606505</v>
      </c>
      <c r="D41" s="31" t="s">
        <v>271</v>
      </c>
      <c r="E41" s="19">
        <v>0.0954</v>
      </c>
      <c r="F41" s="12">
        <f t="shared" si="0"/>
        <v>0.0954</v>
      </c>
      <c r="G41" s="19"/>
      <c r="H41" s="12"/>
      <c r="I41" s="19">
        <v>0.0954</v>
      </c>
      <c r="J41" s="12"/>
    </row>
    <row r="42" spans="1:10" ht="75.75" customHeight="1">
      <c r="A42" s="11" t="s">
        <v>272</v>
      </c>
      <c r="B42" s="11" t="s">
        <v>28</v>
      </c>
      <c r="C42" s="1">
        <v>2910606505</v>
      </c>
      <c r="D42" s="31" t="s">
        <v>273</v>
      </c>
      <c r="E42" s="19">
        <v>4.6491</v>
      </c>
      <c r="F42" s="12">
        <f t="shared" si="0"/>
        <v>3.5691</v>
      </c>
      <c r="G42" s="19"/>
      <c r="H42" s="12"/>
      <c r="I42" s="19">
        <v>3.5691</v>
      </c>
      <c r="J42" s="12"/>
    </row>
    <row r="43" spans="1:10" ht="159" customHeight="1">
      <c r="A43" s="11" t="s">
        <v>274</v>
      </c>
      <c r="B43" s="11" t="s">
        <v>28</v>
      </c>
      <c r="C43" s="1">
        <v>2910606505</v>
      </c>
      <c r="D43" s="31" t="s">
        <v>275</v>
      </c>
      <c r="E43" s="19">
        <v>2.5575</v>
      </c>
      <c r="F43" s="12">
        <f t="shared" si="0"/>
        <v>2.5575</v>
      </c>
      <c r="G43" s="19"/>
      <c r="H43" s="12"/>
      <c r="I43" s="19">
        <v>2.5575</v>
      </c>
      <c r="J43" s="12"/>
    </row>
    <row r="44" spans="1:10" ht="75.75" customHeight="1">
      <c r="A44" s="11" t="s">
        <v>242</v>
      </c>
      <c r="B44" s="11" t="s">
        <v>28</v>
      </c>
      <c r="C44" s="1">
        <v>2910606505</v>
      </c>
      <c r="D44" s="31" t="s">
        <v>243</v>
      </c>
      <c r="E44" s="19">
        <v>0.252</v>
      </c>
      <c r="F44" s="12">
        <f t="shared" si="0"/>
        <v>0.252</v>
      </c>
      <c r="G44" s="19">
        <v>0.252</v>
      </c>
      <c r="H44" s="12"/>
      <c r="I44" s="19"/>
      <c r="J44" s="12"/>
    </row>
    <row r="45" spans="1:10" ht="75.75" customHeight="1">
      <c r="A45" s="11" t="s">
        <v>260</v>
      </c>
      <c r="B45" s="11" t="s">
        <v>258</v>
      </c>
      <c r="C45" s="28" t="s">
        <v>259</v>
      </c>
      <c r="D45" s="31" t="s">
        <v>257</v>
      </c>
      <c r="E45" s="19">
        <v>1.8</v>
      </c>
      <c r="F45" s="12">
        <f t="shared" si="0"/>
        <v>1.8</v>
      </c>
      <c r="G45" s="19"/>
      <c r="H45" s="12">
        <v>1.8</v>
      </c>
      <c r="I45" s="19"/>
      <c r="J45" s="12"/>
    </row>
    <row r="46" spans="1:10" ht="75.75" customHeight="1">
      <c r="A46" s="11" t="s">
        <v>239</v>
      </c>
      <c r="B46" s="14" t="s">
        <v>53</v>
      </c>
      <c r="C46" s="1">
        <v>41224168</v>
      </c>
      <c r="D46" s="31" t="s">
        <v>52</v>
      </c>
      <c r="E46" s="19">
        <v>13.2</v>
      </c>
      <c r="F46" s="12">
        <f t="shared" si="0"/>
        <v>13.09</v>
      </c>
      <c r="G46" s="19">
        <f>5.28+7.81</f>
        <v>13.09</v>
      </c>
      <c r="H46" s="12"/>
      <c r="I46" s="19"/>
      <c r="J46" s="12"/>
    </row>
    <row r="47" spans="1:10" ht="117.75" customHeight="1">
      <c r="A47" s="11" t="s">
        <v>276</v>
      </c>
      <c r="B47" s="14" t="s">
        <v>278</v>
      </c>
      <c r="C47" s="1">
        <v>3092617498</v>
      </c>
      <c r="D47" s="31" t="s">
        <v>277</v>
      </c>
      <c r="E47" s="19">
        <v>42.875</v>
      </c>
      <c r="F47" s="12">
        <f t="shared" si="0"/>
        <v>42.875</v>
      </c>
      <c r="G47" s="19"/>
      <c r="H47" s="12"/>
      <c r="I47" s="19">
        <v>42.875</v>
      </c>
      <c r="J47" s="12"/>
    </row>
    <row r="48" spans="1:10" ht="75.75" customHeight="1">
      <c r="A48" s="11" t="s">
        <v>262</v>
      </c>
      <c r="B48" s="11" t="s">
        <v>131</v>
      </c>
      <c r="C48" s="1">
        <v>2819313730</v>
      </c>
      <c r="D48" s="31" t="s">
        <v>261</v>
      </c>
      <c r="E48" s="19">
        <v>0.59</v>
      </c>
      <c r="F48" s="12">
        <f t="shared" si="0"/>
        <v>0.59</v>
      </c>
      <c r="G48" s="19"/>
      <c r="H48" s="12">
        <v>0.59</v>
      </c>
      <c r="I48" s="19"/>
      <c r="J48" s="12"/>
    </row>
    <row r="49" spans="1:10" ht="75.75" customHeight="1">
      <c r="A49" s="11" t="s">
        <v>317</v>
      </c>
      <c r="B49" s="11" t="s">
        <v>318</v>
      </c>
      <c r="C49" s="1">
        <v>2168804616</v>
      </c>
      <c r="D49" s="31" t="s">
        <v>319</v>
      </c>
      <c r="E49" s="19">
        <v>44.888</v>
      </c>
      <c r="F49" s="12">
        <f t="shared" si="0"/>
        <v>44.888</v>
      </c>
      <c r="G49" s="19"/>
      <c r="H49" s="12"/>
      <c r="I49" s="19">
        <v>44.888</v>
      </c>
      <c r="J49" s="12"/>
    </row>
    <row r="50" spans="1:10" ht="75.75" customHeight="1">
      <c r="A50" s="11" t="s">
        <v>279</v>
      </c>
      <c r="B50" s="11" t="s">
        <v>24</v>
      </c>
      <c r="C50" s="1">
        <v>2587702593</v>
      </c>
      <c r="D50" s="31" t="s">
        <v>280</v>
      </c>
      <c r="E50" s="19">
        <v>1.65</v>
      </c>
      <c r="F50" s="12">
        <f t="shared" si="0"/>
        <v>1.65</v>
      </c>
      <c r="G50" s="19"/>
      <c r="H50" s="12"/>
      <c r="I50" s="19">
        <v>1.65</v>
      </c>
      <c r="J50" s="12"/>
    </row>
    <row r="51" spans="1:10" ht="75.75" customHeight="1">
      <c r="A51" s="11" t="s">
        <v>281</v>
      </c>
      <c r="B51" s="11" t="s">
        <v>283</v>
      </c>
      <c r="C51" s="1">
        <v>32297434</v>
      </c>
      <c r="D51" s="31" t="s">
        <v>282</v>
      </c>
      <c r="E51" s="19">
        <v>24.44545</v>
      </c>
      <c r="F51" s="12">
        <f t="shared" si="0"/>
        <v>24.44545</v>
      </c>
      <c r="G51" s="19"/>
      <c r="H51" s="12"/>
      <c r="I51" s="19">
        <v>24.44545</v>
      </c>
      <c r="J51" s="12"/>
    </row>
    <row r="52" spans="1:10" ht="75.75" customHeight="1">
      <c r="A52" s="11" t="s">
        <v>287</v>
      </c>
      <c r="B52" s="11" t="s">
        <v>288</v>
      </c>
      <c r="C52" s="1">
        <v>3087716386</v>
      </c>
      <c r="D52" s="31" t="s">
        <v>289</v>
      </c>
      <c r="E52" s="19">
        <v>3.95</v>
      </c>
      <c r="F52" s="12">
        <f t="shared" si="0"/>
        <v>3.95</v>
      </c>
      <c r="G52" s="19">
        <v>3.95</v>
      </c>
      <c r="H52" s="12"/>
      <c r="I52" s="19"/>
      <c r="J52" s="12"/>
    </row>
    <row r="53" spans="1:10" ht="75.75" customHeight="1">
      <c r="A53" s="11" t="s">
        <v>290</v>
      </c>
      <c r="B53" s="14" t="s">
        <v>125</v>
      </c>
      <c r="C53" s="1">
        <v>3241110998</v>
      </c>
      <c r="D53" s="31" t="s">
        <v>291</v>
      </c>
      <c r="E53" s="19">
        <v>2.98008</v>
      </c>
      <c r="F53" s="12">
        <f t="shared" si="0"/>
        <v>2.98008</v>
      </c>
      <c r="G53" s="19">
        <v>2.98008</v>
      </c>
      <c r="H53" s="12"/>
      <c r="I53" s="19"/>
      <c r="J53" s="12"/>
    </row>
    <row r="54" spans="1:10" ht="75.75" customHeight="1">
      <c r="A54" s="11" t="s">
        <v>320</v>
      </c>
      <c r="B54" s="14" t="s">
        <v>321</v>
      </c>
      <c r="C54" s="1">
        <v>38360040</v>
      </c>
      <c r="D54" s="31" t="s">
        <v>322</v>
      </c>
      <c r="E54" s="19">
        <v>6.55</v>
      </c>
      <c r="F54" s="12">
        <f t="shared" si="0"/>
        <v>6.55</v>
      </c>
      <c r="G54" s="19"/>
      <c r="H54" s="12"/>
      <c r="I54" s="19">
        <v>6.55</v>
      </c>
      <c r="J54" s="12"/>
    </row>
    <row r="55" spans="1:10" ht="93.75">
      <c r="A55" s="11" t="s">
        <v>54</v>
      </c>
      <c r="B55" s="11" t="s">
        <v>55</v>
      </c>
      <c r="C55" s="1">
        <v>38839332</v>
      </c>
      <c r="D55" s="5" t="s">
        <v>56</v>
      </c>
      <c r="E55" s="12">
        <v>6.8796</v>
      </c>
      <c r="F55" s="12">
        <f t="shared" si="0"/>
        <v>6.8796</v>
      </c>
      <c r="G55" s="19">
        <v>6.8796</v>
      </c>
      <c r="H55" s="12"/>
      <c r="I55" s="19"/>
      <c r="J55" s="12"/>
    </row>
    <row r="56" spans="1:10" ht="114" customHeight="1">
      <c r="A56" s="11" t="s">
        <v>230</v>
      </c>
      <c r="B56" s="11" t="s">
        <v>229</v>
      </c>
      <c r="C56" s="1">
        <v>33096978</v>
      </c>
      <c r="D56" s="18" t="s">
        <v>227</v>
      </c>
      <c r="E56" s="12">
        <v>12.3147</v>
      </c>
      <c r="F56" s="12">
        <f t="shared" si="0"/>
        <v>12.3147</v>
      </c>
      <c r="G56" s="19"/>
      <c r="H56" s="12">
        <v>12.3147</v>
      </c>
      <c r="I56" s="19"/>
      <c r="J56" s="12"/>
    </row>
    <row r="57" spans="1:10" ht="56.25">
      <c r="A57" s="11" t="s">
        <v>231</v>
      </c>
      <c r="B57" s="11" t="s">
        <v>229</v>
      </c>
      <c r="C57" s="1">
        <v>33096978</v>
      </c>
      <c r="D57" s="18" t="s">
        <v>228</v>
      </c>
      <c r="E57" s="12">
        <v>11.9952</v>
      </c>
      <c r="F57" s="12">
        <f t="shared" si="0"/>
        <v>11.9952</v>
      </c>
      <c r="G57" s="19"/>
      <c r="H57" s="12">
        <v>11.9952</v>
      </c>
      <c r="I57" s="19"/>
      <c r="J57" s="12"/>
    </row>
    <row r="58" spans="1:10" ht="56.25">
      <c r="A58" s="11" t="s">
        <v>212</v>
      </c>
      <c r="B58" s="11" t="s">
        <v>213</v>
      </c>
      <c r="C58" s="1">
        <v>20509800</v>
      </c>
      <c r="D58" s="5" t="s">
        <v>214</v>
      </c>
      <c r="E58" s="12">
        <f>0.65617+2.51904</f>
        <v>3.17521</v>
      </c>
      <c r="F58" s="12">
        <f t="shared" si="0"/>
        <v>3.17521</v>
      </c>
      <c r="G58" s="19">
        <v>0.65617</v>
      </c>
      <c r="H58" s="12">
        <v>2.51904</v>
      </c>
      <c r="I58" s="19"/>
      <c r="J58" s="12"/>
    </row>
    <row r="59" spans="1:10" ht="56.25">
      <c r="A59" s="11" t="s">
        <v>330</v>
      </c>
      <c r="B59" s="11" t="s">
        <v>213</v>
      </c>
      <c r="C59" s="1">
        <v>20509800</v>
      </c>
      <c r="D59" s="5" t="s">
        <v>214</v>
      </c>
      <c r="E59" s="12">
        <v>1.5</v>
      </c>
      <c r="F59" s="12">
        <f t="shared" si="0"/>
        <v>1.5</v>
      </c>
      <c r="G59" s="19"/>
      <c r="H59" s="12">
        <v>1.5</v>
      </c>
      <c r="I59" s="19"/>
      <c r="J59" s="12"/>
    </row>
    <row r="60" spans="1:10" ht="56.25">
      <c r="A60" s="11" t="s">
        <v>92</v>
      </c>
      <c r="B60" s="11" t="s">
        <v>93</v>
      </c>
      <c r="C60" s="28" t="s">
        <v>94</v>
      </c>
      <c r="D60" s="5" t="s">
        <v>95</v>
      </c>
      <c r="E60" s="12">
        <v>1.32192</v>
      </c>
      <c r="F60" s="12">
        <f t="shared" si="0"/>
        <v>1.79928</v>
      </c>
      <c r="G60" s="19">
        <f>0.44064+0.88128+0.47736</f>
        <v>1.79928</v>
      </c>
      <c r="H60" s="12"/>
      <c r="I60" s="19"/>
      <c r="J60" s="12"/>
    </row>
    <row r="61" spans="1:10" ht="93.75">
      <c r="A61" s="11" t="s">
        <v>232</v>
      </c>
      <c r="B61" s="11" t="s">
        <v>27</v>
      </c>
      <c r="C61" s="1" t="s">
        <v>233</v>
      </c>
      <c r="D61" s="5" t="s">
        <v>234</v>
      </c>
      <c r="E61" s="19" t="s">
        <v>235</v>
      </c>
      <c r="F61" s="12">
        <f t="shared" si="0"/>
        <v>38.25245</v>
      </c>
      <c r="G61" s="19"/>
      <c r="H61" s="12">
        <v>38.25245</v>
      </c>
      <c r="I61" s="19"/>
      <c r="J61" s="12"/>
    </row>
    <row r="62" spans="1:10" s="2" customFormat="1" ht="18.75">
      <c r="A62" s="39" t="s">
        <v>14</v>
      </c>
      <c r="B62" s="39"/>
      <c r="C62" s="39"/>
      <c r="D62" s="39"/>
      <c r="E62" s="13">
        <f aca="true" t="shared" si="1" ref="E62:J62">SUM(E11:E61)</f>
        <v>664.2545</v>
      </c>
      <c r="F62" s="13">
        <f t="shared" si="1"/>
        <v>684.5105499999999</v>
      </c>
      <c r="G62" s="13">
        <f t="shared" si="1"/>
        <v>180.28249000000002</v>
      </c>
      <c r="H62" s="13">
        <f t="shared" si="1"/>
        <v>88.61739</v>
      </c>
      <c r="I62" s="13">
        <f t="shared" si="1"/>
        <v>415.61066999999997</v>
      </c>
      <c r="J62" s="13">
        <f t="shared" si="1"/>
        <v>0</v>
      </c>
    </row>
    <row r="63" spans="1:10" s="2" customFormat="1" ht="18.75">
      <c r="A63" s="39" t="s">
        <v>96</v>
      </c>
      <c r="B63" s="39"/>
      <c r="C63" s="39"/>
      <c r="D63" s="39"/>
      <c r="E63" s="39"/>
      <c r="F63" s="39"/>
      <c r="G63" s="39"/>
      <c r="H63" s="39"/>
      <c r="I63" s="39"/>
      <c r="J63" s="39"/>
    </row>
    <row r="64" spans="1:10" s="2" customFormat="1" ht="75">
      <c r="A64" s="11" t="s">
        <v>99</v>
      </c>
      <c r="B64" s="14" t="s">
        <v>97</v>
      </c>
      <c r="C64" s="1">
        <v>31816235</v>
      </c>
      <c r="D64" s="5" t="s">
        <v>98</v>
      </c>
      <c r="E64" s="12">
        <v>756.5</v>
      </c>
      <c r="F64" s="12">
        <f>SUM(G64:J64)</f>
        <v>231.1517</v>
      </c>
      <c r="G64" s="19">
        <f>40.86761+88.3375+38.26382+56.68277</f>
        <v>224.1517</v>
      </c>
      <c r="H64" s="12"/>
      <c r="I64" s="19">
        <v>7</v>
      </c>
      <c r="J64" s="12"/>
    </row>
    <row r="65" spans="1:10" s="2" customFormat="1" ht="75">
      <c r="A65" s="11" t="s">
        <v>144</v>
      </c>
      <c r="B65" s="5" t="s">
        <v>146</v>
      </c>
      <c r="C65" s="1">
        <v>39190161</v>
      </c>
      <c r="D65" s="5" t="s">
        <v>145</v>
      </c>
      <c r="E65" s="12">
        <v>20.14786</v>
      </c>
      <c r="F65" s="12">
        <f>SUM(G65:J65)</f>
        <v>20.14786</v>
      </c>
      <c r="G65" s="19"/>
      <c r="H65" s="12"/>
      <c r="I65" s="19">
        <v>20.14786</v>
      </c>
      <c r="J65" s="13"/>
    </row>
    <row r="66" spans="1:10" s="2" customFormat="1" ht="116.25" customHeight="1">
      <c r="A66" s="11" t="s">
        <v>246</v>
      </c>
      <c r="B66" s="37" t="s">
        <v>245</v>
      </c>
      <c r="C66" s="1">
        <v>2684220493</v>
      </c>
      <c r="D66" s="38" t="s">
        <v>244</v>
      </c>
      <c r="E66" s="12">
        <v>15.02008</v>
      </c>
      <c r="F66" s="12">
        <f>SUM(G66:J66)</f>
        <v>15.02008</v>
      </c>
      <c r="G66" s="19">
        <v>15.02008</v>
      </c>
      <c r="H66" s="12"/>
      <c r="I66" s="19"/>
      <c r="J66" s="13"/>
    </row>
    <row r="67" spans="1:10" s="2" customFormat="1" ht="93.75">
      <c r="A67" s="11" t="s">
        <v>232</v>
      </c>
      <c r="B67" s="33" t="s">
        <v>236</v>
      </c>
      <c r="C67" s="36">
        <v>19282260</v>
      </c>
      <c r="D67" s="34" t="s">
        <v>237</v>
      </c>
      <c r="E67" s="12" t="s">
        <v>235</v>
      </c>
      <c r="F67" s="12">
        <f>SUM(G67:J67)</f>
        <v>1.9329900000000002</v>
      </c>
      <c r="G67" s="19"/>
      <c r="H67" s="12"/>
      <c r="I67" s="19">
        <f>0.77612+1.15687</f>
        <v>1.9329900000000002</v>
      </c>
      <c r="J67" s="13"/>
    </row>
    <row r="68" spans="1:10" s="2" customFormat="1" ht="18.75">
      <c r="A68" s="39" t="s">
        <v>177</v>
      </c>
      <c r="B68" s="39"/>
      <c r="C68" s="39"/>
      <c r="D68" s="39"/>
      <c r="E68" s="30">
        <f aca="true" t="shared" si="2" ref="E68:J68">SUM(E64:E67)</f>
        <v>791.66794</v>
      </c>
      <c r="F68" s="30">
        <f t="shared" si="2"/>
        <v>268.25263</v>
      </c>
      <c r="G68" s="30">
        <f t="shared" si="2"/>
        <v>239.17178</v>
      </c>
      <c r="H68" s="30">
        <f t="shared" si="2"/>
        <v>0</v>
      </c>
      <c r="I68" s="30">
        <f t="shared" si="2"/>
        <v>29.08085</v>
      </c>
      <c r="J68" s="30">
        <f t="shared" si="2"/>
        <v>0</v>
      </c>
    </row>
    <row r="69" spans="1:10" ht="18.75">
      <c r="A69" s="39" t="s">
        <v>12</v>
      </c>
      <c r="B69" s="39"/>
      <c r="C69" s="39"/>
      <c r="D69" s="39"/>
      <c r="E69" s="39"/>
      <c r="F69" s="39"/>
      <c r="G69" s="39"/>
      <c r="H69" s="39"/>
      <c r="I69" s="39"/>
      <c r="J69" s="39"/>
    </row>
    <row r="70" spans="1:10" ht="112.5">
      <c r="A70" s="11" t="s">
        <v>59</v>
      </c>
      <c r="B70" s="11" t="s">
        <v>57</v>
      </c>
      <c r="C70" s="1">
        <v>30481856</v>
      </c>
      <c r="D70" s="18" t="s">
        <v>33</v>
      </c>
      <c r="E70" s="23">
        <v>736.57</v>
      </c>
      <c r="F70" s="12">
        <f aca="true" t="shared" si="3" ref="F70:F105">SUM(G70:J70)</f>
        <v>317.86236999999994</v>
      </c>
      <c r="G70" s="19">
        <f>23.63088+6.49686+47.34196+50.95587</f>
        <v>128.42557</v>
      </c>
      <c r="H70" s="12"/>
      <c r="I70" s="19">
        <f>40.66581-3.93848+60.44028+60.37173+17.09624+14.80122</f>
        <v>189.43679999999998</v>
      </c>
      <c r="J70" s="12"/>
    </row>
    <row r="71" spans="1:10" ht="93.75">
      <c r="A71" s="11" t="s">
        <v>58</v>
      </c>
      <c r="B71" s="11" t="s">
        <v>60</v>
      </c>
      <c r="C71" s="1">
        <v>34407781</v>
      </c>
      <c r="D71" s="18" t="s">
        <v>31</v>
      </c>
      <c r="E71" s="23">
        <v>289.0004</v>
      </c>
      <c r="F71" s="12">
        <f t="shared" si="3"/>
        <v>13.62726</v>
      </c>
      <c r="G71" s="19">
        <v>6.81363</v>
      </c>
      <c r="H71" s="12"/>
      <c r="I71" s="19">
        <v>6.81363</v>
      </c>
      <c r="J71" s="12"/>
    </row>
    <row r="72" spans="1:10" ht="56.25">
      <c r="A72" s="11" t="s">
        <v>119</v>
      </c>
      <c r="B72" s="11" t="s">
        <v>77</v>
      </c>
      <c r="C72" s="1">
        <v>2808320048</v>
      </c>
      <c r="D72" s="18" t="s">
        <v>120</v>
      </c>
      <c r="E72" s="23">
        <v>12.8205</v>
      </c>
      <c r="F72" s="12">
        <f t="shared" si="3"/>
        <v>3.9627</v>
      </c>
      <c r="G72" s="19">
        <f>0.6993+1.3986+0.6993</f>
        <v>2.7972</v>
      </c>
      <c r="H72" s="12"/>
      <c r="I72" s="19">
        <f>0.6993+0.4662</f>
        <v>1.1655</v>
      </c>
      <c r="J72" s="12"/>
    </row>
    <row r="73" spans="1:10" ht="75">
      <c r="A73" s="11" t="s">
        <v>199</v>
      </c>
      <c r="B73" s="11" t="s">
        <v>60</v>
      </c>
      <c r="C73" s="1">
        <v>34407781</v>
      </c>
      <c r="D73" s="18" t="s">
        <v>200</v>
      </c>
      <c r="E73" s="23">
        <v>136.75</v>
      </c>
      <c r="F73" s="12">
        <f t="shared" si="3"/>
        <v>99.34200000000001</v>
      </c>
      <c r="G73" s="19">
        <f>55.59</f>
        <v>55.59</v>
      </c>
      <c r="H73" s="12"/>
      <c r="I73" s="19">
        <v>43.752</v>
      </c>
      <c r="J73" s="12"/>
    </row>
    <row r="74" spans="1:10" ht="93.75">
      <c r="A74" s="11" t="s">
        <v>114</v>
      </c>
      <c r="B74" s="11" t="s">
        <v>115</v>
      </c>
      <c r="C74" s="1">
        <v>2194012568</v>
      </c>
      <c r="D74" s="18" t="s">
        <v>113</v>
      </c>
      <c r="E74" s="23">
        <v>106.999</v>
      </c>
      <c r="F74" s="12">
        <f t="shared" si="3"/>
        <v>57.724599999999995</v>
      </c>
      <c r="G74" s="19">
        <f>11.5071+12.98274+11.24321</f>
        <v>35.73305</v>
      </c>
      <c r="H74" s="12"/>
      <c r="I74" s="19">
        <f>12.20423+9.78732</f>
        <v>21.99155</v>
      </c>
      <c r="J74" s="12"/>
    </row>
    <row r="75" spans="1:10" ht="117" customHeight="1">
      <c r="A75" s="11" t="s">
        <v>63</v>
      </c>
      <c r="B75" s="11" t="s">
        <v>60</v>
      </c>
      <c r="C75" s="1">
        <v>34407781</v>
      </c>
      <c r="D75" s="18" t="s">
        <v>64</v>
      </c>
      <c r="E75" s="23">
        <v>72.54</v>
      </c>
      <c r="F75" s="12">
        <f t="shared" si="3"/>
        <v>21.24156</v>
      </c>
      <c r="G75" s="19">
        <f>7.95648+3.924</f>
        <v>11.88048</v>
      </c>
      <c r="H75" s="12"/>
      <c r="I75" s="19">
        <f>2.739+3.79248+2.8296</f>
        <v>9.361080000000001</v>
      </c>
      <c r="J75" s="12"/>
    </row>
    <row r="76" spans="1:10" ht="80.25" customHeight="1">
      <c r="A76" s="11" t="s">
        <v>147</v>
      </c>
      <c r="B76" s="11" t="s">
        <v>60</v>
      </c>
      <c r="C76" s="1">
        <v>34407781</v>
      </c>
      <c r="D76" s="18" t="s">
        <v>148</v>
      </c>
      <c r="E76" s="23">
        <v>110.76</v>
      </c>
      <c r="F76" s="12">
        <f t="shared" si="3"/>
        <v>39.78522</v>
      </c>
      <c r="G76" s="19">
        <f>3.01392+11.52124+8.66134</f>
        <v>23.1965</v>
      </c>
      <c r="H76" s="12"/>
      <c r="I76" s="19">
        <f>10.05052+6.5382</f>
        <v>16.588720000000002</v>
      </c>
      <c r="J76" s="12"/>
    </row>
    <row r="77" spans="1:10" ht="75">
      <c r="A77" s="11" t="s">
        <v>61</v>
      </c>
      <c r="B77" s="11" t="s">
        <v>60</v>
      </c>
      <c r="C77" s="1">
        <v>34407781</v>
      </c>
      <c r="D77" s="18" t="s">
        <v>62</v>
      </c>
      <c r="E77" s="23">
        <v>262.8</v>
      </c>
      <c r="F77" s="12">
        <f t="shared" si="3"/>
        <v>5.7816</v>
      </c>
      <c r="G77" s="19">
        <v>5.7816</v>
      </c>
      <c r="H77" s="12"/>
      <c r="I77" s="19"/>
      <c r="J77" s="12"/>
    </row>
    <row r="78" spans="1:10" ht="117" customHeight="1">
      <c r="A78" s="11" t="s">
        <v>65</v>
      </c>
      <c r="B78" s="11" t="s">
        <v>60</v>
      </c>
      <c r="C78" s="1">
        <v>34407781</v>
      </c>
      <c r="D78" s="18" t="s">
        <v>66</v>
      </c>
      <c r="E78" s="23">
        <v>389.034</v>
      </c>
      <c r="F78" s="12">
        <f t="shared" si="3"/>
        <v>143.72092</v>
      </c>
      <c r="G78" s="19">
        <f>13.99108+33.2979+25.74468</f>
        <v>73.03366</v>
      </c>
      <c r="H78" s="12"/>
      <c r="I78" s="19">
        <f>4.8735+33.31383+32.49993</f>
        <v>70.68726000000001</v>
      </c>
      <c r="J78" s="12"/>
    </row>
    <row r="79" spans="1:10" ht="80.25" customHeight="1">
      <c r="A79" s="11" t="s">
        <v>149</v>
      </c>
      <c r="B79" s="11" t="s">
        <v>150</v>
      </c>
      <c r="C79" s="1">
        <v>41674955</v>
      </c>
      <c r="D79" s="18" t="s">
        <v>151</v>
      </c>
      <c r="E79" s="23">
        <v>68.3</v>
      </c>
      <c r="F79" s="12">
        <f t="shared" si="3"/>
        <v>68.30000000000001</v>
      </c>
      <c r="G79" s="19">
        <f>14.0404+4.48</f>
        <v>18.520400000000002</v>
      </c>
      <c r="H79" s="12"/>
      <c r="I79" s="19">
        <f>25.297+18.951+5.5316</f>
        <v>49.7796</v>
      </c>
      <c r="J79" s="12"/>
    </row>
    <row r="80" spans="1:10" ht="75">
      <c r="A80" s="11" t="s">
        <v>67</v>
      </c>
      <c r="B80" s="11" t="s">
        <v>68</v>
      </c>
      <c r="C80" s="1">
        <v>38197742</v>
      </c>
      <c r="D80" s="5" t="s">
        <v>32</v>
      </c>
      <c r="E80" s="12">
        <v>97.5</v>
      </c>
      <c r="F80" s="12">
        <f t="shared" si="3"/>
        <v>44.492999999999995</v>
      </c>
      <c r="G80" s="19">
        <f>6.032+7.6104+16.9316</f>
        <v>30.573999999999998</v>
      </c>
      <c r="H80" s="12"/>
      <c r="I80" s="19">
        <f>5.5925+8.3265</f>
        <v>13.919</v>
      </c>
      <c r="J80" s="12"/>
    </row>
    <row r="81" spans="1:10" ht="75">
      <c r="A81" s="11" t="s">
        <v>69</v>
      </c>
      <c r="B81" s="11" t="s">
        <v>71</v>
      </c>
      <c r="C81" s="1">
        <v>41033603</v>
      </c>
      <c r="D81" s="5" t="s">
        <v>70</v>
      </c>
      <c r="E81" s="26">
        <v>354.8322</v>
      </c>
      <c r="F81" s="12">
        <f t="shared" si="3"/>
        <v>59.1729</v>
      </c>
      <c r="G81" s="19">
        <f>3.185+28.09752</f>
        <v>31.282519999999998</v>
      </c>
      <c r="H81" s="12"/>
      <c r="I81" s="19">
        <f>11.57495+4.5682+11.74723</f>
        <v>27.89038</v>
      </c>
      <c r="J81" s="12"/>
    </row>
    <row r="82" spans="1:10" ht="78" customHeight="1">
      <c r="A82" s="11" t="s">
        <v>201</v>
      </c>
      <c r="B82" s="11" t="s">
        <v>74</v>
      </c>
      <c r="C82" s="1">
        <v>42498344</v>
      </c>
      <c r="D82" s="5" t="s">
        <v>202</v>
      </c>
      <c r="E82" s="26">
        <v>30.29</v>
      </c>
      <c r="F82" s="12">
        <f t="shared" si="3"/>
        <v>4.98</v>
      </c>
      <c r="G82" s="19"/>
      <c r="H82" s="12"/>
      <c r="I82" s="19">
        <f>4.98</f>
        <v>4.98</v>
      </c>
      <c r="J82" s="12"/>
    </row>
    <row r="83" spans="1:10" ht="75">
      <c r="A83" s="11" t="s">
        <v>152</v>
      </c>
      <c r="B83" s="11" t="s">
        <v>74</v>
      </c>
      <c r="C83" s="1">
        <v>42498344</v>
      </c>
      <c r="D83" s="5" t="s">
        <v>153</v>
      </c>
      <c r="E83" s="26">
        <v>22.38</v>
      </c>
      <c r="F83" s="12">
        <f t="shared" si="3"/>
        <v>22.38</v>
      </c>
      <c r="G83" s="19">
        <f>5.595+5.595</f>
        <v>11.19</v>
      </c>
      <c r="H83" s="12"/>
      <c r="I83" s="19">
        <f>5.595+5.595</f>
        <v>11.19</v>
      </c>
      <c r="J83" s="12"/>
    </row>
    <row r="84" spans="1:10" ht="75">
      <c r="A84" s="11" t="s">
        <v>72</v>
      </c>
      <c r="B84" s="11" t="s">
        <v>74</v>
      </c>
      <c r="C84" s="1">
        <v>42498344</v>
      </c>
      <c r="D84" s="5" t="s">
        <v>73</v>
      </c>
      <c r="E84" s="12">
        <v>26.619</v>
      </c>
      <c r="F84" s="12">
        <f t="shared" si="3"/>
        <v>26.619</v>
      </c>
      <c r="G84" s="19">
        <v>26.619</v>
      </c>
      <c r="H84" s="12"/>
      <c r="I84" s="19"/>
      <c r="J84" s="12"/>
    </row>
    <row r="85" spans="1:10" ht="93.75">
      <c r="A85" s="11" t="s">
        <v>75</v>
      </c>
      <c r="B85" s="11" t="s">
        <v>77</v>
      </c>
      <c r="C85" s="1">
        <v>2808320048</v>
      </c>
      <c r="D85" s="5" t="s">
        <v>76</v>
      </c>
      <c r="E85" s="12">
        <v>18.72</v>
      </c>
      <c r="F85" s="12">
        <f t="shared" si="3"/>
        <v>18.72</v>
      </c>
      <c r="G85" s="19">
        <f>2.16+3.6</f>
        <v>5.76</v>
      </c>
      <c r="H85" s="12"/>
      <c r="I85" s="19">
        <f>4.32+4.32+3.6+0.72</f>
        <v>12.96</v>
      </c>
      <c r="J85" s="12"/>
    </row>
    <row r="86" spans="1:10" ht="75">
      <c r="A86" s="11" t="s">
        <v>154</v>
      </c>
      <c r="B86" s="11" t="s">
        <v>155</v>
      </c>
      <c r="C86" s="1">
        <v>2251605227</v>
      </c>
      <c r="D86" s="5" t="s">
        <v>156</v>
      </c>
      <c r="E86" s="12">
        <v>3.96</v>
      </c>
      <c r="F86" s="12">
        <f t="shared" si="3"/>
        <v>3.96</v>
      </c>
      <c r="G86" s="19"/>
      <c r="H86" s="12"/>
      <c r="I86" s="19">
        <v>3.96</v>
      </c>
      <c r="J86" s="12"/>
    </row>
    <row r="87" spans="1:10" ht="75">
      <c r="A87" s="11" t="s">
        <v>157</v>
      </c>
      <c r="B87" s="11" t="s">
        <v>158</v>
      </c>
      <c r="C87" s="1">
        <v>37408070</v>
      </c>
      <c r="D87" s="5" t="s">
        <v>159</v>
      </c>
      <c r="E87" s="12">
        <v>286.812</v>
      </c>
      <c r="F87" s="12">
        <f t="shared" si="3"/>
        <v>84.65459000000001</v>
      </c>
      <c r="G87" s="19">
        <f>23.4984+11.19659</f>
        <v>34.694990000000004</v>
      </c>
      <c r="H87" s="12"/>
      <c r="I87" s="19">
        <f>18.504+21.2796+10.176</f>
        <v>49.9596</v>
      </c>
      <c r="J87" s="12"/>
    </row>
    <row r="88" spans="1:10" ht="115.5" customHeight="1">
      <c r="A88" s="11" t="s">
        <v>160</v>
      </c>
      <c r="B88" s="11" t="s">
        <v>162</v>
      </c>
      <c r="C88" s="1">
        <v>37521072</v>
      </c>
      <c r="D88" s="5" t="s">
        <v>161</v>
      </c>
      <c r="E88" s="12">
        <v>42.1245</v>
      </c>
      <c r="F88" s="12">
        <f t="shared" si="3"/>
        <v>42.1245</v>
      </c>
      <c r="G88" s="19"/>
      <c r="H88" s="12"/>
      <c r="I88" s="19">
        <v>42.1245</v>
      </c>
      <c r="J88" s="12"/>
    </row>
    <row r="89" spans="1:10" ht="60.75" customHeight="1">
      <c r="A89" s="11" t="s">
        <v>163</v>
      </c>
      <c r="B89" s="11" t="s">
        <v>77</v>
      </c>
      <c r="C89" s="1">
        <v>2808320048</v>
      </c>
      <c r="D89" s="5" t="s">
        <v>164</v>
      </c>
      <c r="E89" s="12">
        <v>59.2</v>
      </c>
      <c r="F89" s="12">
        <f t="shared" si="3"/>
        <v>18.6147</v>
      </c>
      <c r="G89" s="19">
        <f>1.8648+5.5944+3.7296</f>
        <v>11.1888</v>
      </c>
      <c r="H89" s="12"/>
      <c r="I89" s="19">
        <f>1.8315+3.7296+1.8648</f>
        <v>7.4258999999999995</v>
      </c>
      <c r="J89" s="12"/>
    </row>
    <row r="90" spans="1:10" ht="92.25" customHeight="1">
      <c r="A90" s="11" t="s">
        <v>166</v>
      </c>
      <c r="B90" s="11" t="s">
        <v>165</v>
      </c>
      <c r="C90" s="1">
        <v>38993915</v>
      </c>
      <c r="D90" s="5" t="s">
        <v>167</v>
      </c>
      <c r="E90" s="12">
        <v>270.96</v>
      </c>
      <c r="F90" s="12">
        <f t="shared" si="3"/>
        <v>96.07464</v>
      </c>
      <c r="G90" s="19">
        <f>20.45886+22.07128</f>
        <v>42.53014</v>
      </c>
      <c r="H90" s="12"/>
      <c r="I90" s="19">
        <f>11.74974+29.78144+5.45962+6.5537</f>
        <v>53.5445</v>
      </c>
      <c r="J90" s="12"/>
    </row>
    <row r="91" spans="1:10" ht="93" customHeight="1">
      <c r="A91" s="11" t="s">
        <v>187</v>
      </c>
      <c r="B91" s="11" t="s">
        <v>165</v>
      </c>
      <c r="C91" s="1">
        <v>38993915</v>
      </c>
      <c r="D91" s="5" t="s">
        <v>62</v>
      </c>
      <c r="E91" s="12">
        <v>237.6</v>
      </c>
      <c r="F91" s="12">
        <f t="shared" si="3"/>
        <v>57.024</v>
      </c>
      <c r="G91" s="19">
        <f>19.305+19.602</f>
        <v>38.907</v>
      </c>
      <c r="H91" s="12"/>
      <c r="I91" s="19">
        <f>13.365+3.564+1.188</f>
        <v>18.117</v>
      </c>
      <c r="J91" s="12"/>
    </row>
    <row r="92" spans="1:10" ht="97.5" customHeight="1">
      <c r="A92" s="11" t="s">
        <v>168</v>
      </c>
      <c r="B92" s="11" t="s">
        <v>170</v>
      </c>
      <c r="C92" s="1">
        <v>2543616535</v>
      </c>
      <c r="D92" s="5" t="s">
        <v>169</v>
      </c>
      <c r="E92" s="12">
        <v>26.7665</v>
      </c>
      <c r="F92" s="12">
        <f t="shared" si="3"/>
        <v>26.7665</v>
      </c>
      <c r="G92" s="19"/>
      <c r="H92" s="12"/>
      <c r="I92" s="19">
        <v>26.7665</v>
      </c>
      <c r="J92" s="12"/>
    </row>
    <row r="93" spans="1:10" ht="59.25" customHeight="1">
      <c r="A93" s="11" t="s">
        <v>204</v>
      </c>
      <c r="B93" s="11" t="s">
        <v>203</v>
      </c>
      <c r="C93" s="1">
        <v>3414807739</v>
      </c>
      <c r="D93" s="18" t="s">
        <v>206</v>
      </c>
      <c r="E93" s="12">
        <v>82.56</v>
      </c>
      <c r="F93" s="12">
        <f t="shared" si="3"/>
        <v>82.01158000000001</v>
      </c>
      <c r="G93" s="19">
        <f>2.9+35.52058</f>
        <v>38.42058</v>
      </c>
      <c r="H93" s="12"/>
      <c r="I93" s="19">
        <f>43.591</f>
        <v>43.591</v>
      </c>
      <c r="J93" s="12"/>
    </row>
    <row r="94" spans="1:10" ht="76.5" customHeight="1">
      <c r="A94" s="11" t="s">
        <v>205</v>
      </c>
      <c r="B94" s="11" t="s">
        <v>203</v>
      </c>
      <c r="C94" s="1">
        <v>3414807739</v>
      </c>
      <c r="D94" s="35" t="s">
        <v>207</v>
      </c>
      <c r="E94" s="12">
        <v>92.35</v>
      </c>
      <c r="F94" s="12">
        <f t="shared" si="3"/>
        <v>50.2265</v>
      </c>
      <c r="G94" s="19">
        <f>13.25+5.8+2.85</f>
        <v>21.900000000000002</v>
      </c>
      <c r="H94" s="12"/>
      <c r="I94" s="19">
        <f>20.5+7.8265</f>
        <v>28.3265</v>
      </c>
      <c r="J94" s="12"/>
    </row>
    <row r="95" spans="1:10" ht="85.5" customHeight="1">
      <c r="A95" s="11" t="s">
        <v>197</v>
      </c>
      <c r="B95" s="11" t="s">
        <v>71</v>
      </c>
      <c r="C95" s="1">
        <v>41033603</v>
      </c>
      <c r="D95" s="5" t="s">
        <v>198</v>
      </c>
      <c r="E95" s="12">
        <v>478.5</v>
      </c>
      <c r="F95" s="12">
        <f t="shared" si="3"/>
        <v>116.343</v>
      </c>
      <c r="G95" s="19">
        <f>41.85+38.502</f>
        <v>80.352</v>
      </c>
      <c r="H95" s="12"/>
      <c r="I95" s="19">
        <f>35.991</f>
        <v>35.991</v>
      </c>
      <c r="J95" s="12"/>
    </row>
    <row r="96" spans="1:10" ht="115.5" customHeight="1">
      <c r="A96" s="11" t="s">
        <v>208</v>
      </c>
      <c r="B96" s="11" t="s">
        <v>170</v>
      </c>
      <c r="C96" s="1">
        <v>2543616535</v>
      </c>
      <c r="D96" s="5" t="s">
        <v>209</v>
      </c>
      <c r="E96" s="12">
        <v>22.931</v>
      </c>
      <c r="F96" s="12">
        <f t="shared" si="3"/>
        <v>11.4655</v>
      </c>
      <c r="G96" s="19"/>
      <c r="H96" s="12"/>
      <c r="I96" s="19">
        <f>11.4655</f>
        <v>11.4655</v>
      </c>
      <c r="J96" s="12"/>
    </row>
    <row r="97" spans="1:10" ht="115.5" customHeight="1">
      <c r="A97" s="11" t="s">
        <v>292</v>
      </c>
      <c r="B97" s="11" t="s">
        <v>77</v>
      </c>
      <c r="C97" s="1">
        <v>2808320048</v>
      </c>
      <c r="D97" s="5" t="s">
        <v>73</v>
      </c>
      <c r="E97" s="12">
        <v>51.88</v>
      </c>
      <c r="F97" s="12">
        <f t="shared" si="3"/>
        <v>25.05804</v>
      </c>
      <c r="G97" s="19">
        <v>25.05804</v>
      </c>
      <c r="H97" s="12"/>
      <c r="I97" s="19"/>
      <c r="J97" s="12"/>
    </row>
    <row r="98" spans="1:10" ht="115.5" customHeight="1">
      <c r="A98" s="11" t="s">
        <v>248</v>
      </c>
      <c r="B98" s="11" t="s">
        <v>77</v>
      </c>
      <c r="C98" s="1">
        <v>2808320048</v>
      </c>
      <c r="D98" s="5" t="s">
        <v>247</v>
      </c>
      <c r="E98" s="12">
        <v>54.9</v>
      </c>
      <c r="F98" s="12">
        <f t="shared" si="3"/>
        <v>27.450000000000003</v>
      </c>
      <c r="G98" s="19">
        <f>9.76+17.69</f>
        <v>27.450000000000003</v>
      </c>
      <c r="H98" s="12"/>
      <c r="I98" s="19"/>
      <c r="J98" s="12"/>
    </row>
    <row r="99" spans="1:10" ht="115.5" customHeight="1">
      <c r="A99" s="11" t="s">
        <v>250</v>
      </c>
      <c r="B99" s="11" t="s">
        <v>68</v>
      </c>
      <c r="C99" s="1">
        <v>38197742</v>
      </c>
      <c r="D99" s="5" t="s">
        <v>249</v>
      </c>
      <c r="E99" s="12">
        <v>71</v>
      </c>
      <c r="F99" s="12">
        <f t="shared" si="3"/>
        <v>25.42</v>
      </c>
      <c r="G99" s="19">
        <f>11.7+13.72</f>
        <v>25.42</v>
      </c>
      <c r="H99" s="12"/>
      <c r="I99" s="19"/>
      <c r="J99" s="12"/>
    </row>
    <row r="100" spans="1:10" ht="134.25" customHeight="1">
      <c r="A100" s="11" t="s">
        <v>252</v>
      </c>
      <c r="B100" s="11" t="s">
        <v>115</v>
      </c>
      <c r="C100" s="1">
        <v>2194012568</v>
      </c>
      <c r="D100" s="5" t="s">
        <v>251</v>
      </c>
      <c r="E100" s="12">
        <v>379.5</v>
      </c>
      <c r="F100" s="12">
        <f t="shared" si="3"/>
        <v>169.67784</v>
      </c>
      <c r="G100" s="19">
        <f>72.5238+97.15404</f>
        <v>169.67784</v>
      </c>
      <c r="H100" s="12"/>
      <c r="I100" s="19"/>
      <c r="J100" s="12"/>
    </row>
    <row r="101" spans="1:10" ht="134.25" customHeight="1">
      <c r="A101" s="11" t="s">
        <v>293</v>
      </c>
      <c r="B101" s="11" t="s">
        <v>155</v>
      </c>
      <c r="C101" s="1">
        <v>2251605227</v>
      </c>
      <c r="D101" s="5" t="s">
        <v>294</v>
      </c>
      <c r="E101" s="12">
        <v>28.75</v>
      </c>
      <c r="F101" s="12">
        <f t="shared" si="3"/>
        <v>28.75</v>
      </c>
      <c r="G101" s="19">
        <v>28.75</v>
      </c>
      <c r="H101" s="12"/>
      <c r="I101" s="19"/>
      <c r="J101" s="12"/>
    </row>
    <row r="102" spans="1:10" ht="134.25" customHeight="1">
      <c r="A102" s="11" t="s">
        <v>295</v>
      </c>
      <c r="B102" s="11" t="s">
        <v>296</v>
      </c>
      <c r="C102" s="1">
        <v>2903605615</v>
      </c>
      <c r="D102" s="5" t="s">
        <v>76</v>
      </c>
      <c r="E102" s="12">
        <v>15.6312</v>
      </c>
      <c r="F102" s="12">
        <f t="shared" si="3"/>
        <v>5.35569</v>
      </c>
      <c r="G102" s="19">
        <v>5.35569</v>
      </c>
      <c r="H102" s="12"/>
      <c r="I102" s="19"/>
      <c r="J102" s="12"/>
    </row>
    <row r="103" spans="1:10" ht="134.25" customHeight="1">
      <c r="A103" s="11" t="s">
        <v>297</v>
      </c>
      <c r="B103" s="11" t="s">
        <v>77</v>
      </c>
      <c r="C103" s="1">
        <v>2808320048</v>
      </c>
      <c r="D103" s="5" t="s">
        <v>202</v>
      </c>
      <c r="E103" s="12">
        <v>44.876</v>
      </c>
      <c r="F103" s="12">
        <f t="shared" si="3"/>
        <v>16.702</v>
      </c>
      <c r="G103" s="19">
        <v>16.702</v>
      </c>
      <c r="H103" s="12"/>
      <c r="I103" s="19"/>
      <c r="J103" s="12"/>
    </row>
    <row r="104" spans="1:10" ht="134.25" customHeight="1">
      <c r="A104" s="11" t="s">
        <v>323</v>
      </c>
      <c r="B104" s="11" t="s">
        <v>203</v>
      </c>
      <c r="C104" s="1">
        <v>3414807739</v>
      </c>
      <c r="D104" s="5" t="s">
        <v>324</v>
      </c>
      <c r="E104" s="12">
        <v>442.2</v>
      </c>
      <c r="F104" s="12">
        <f t="shared" si="3"/>
        <v>26.8</v>
      </c>
      <c r="G104" s="19"/>
      <c r="H104" s="12"/>
      <c r="I104" s="19">
        <v>26.8</v>
      </c>
      <c r="J104" s="12"/>
    </row>
    <row r="105" spans="1:10" ht="91.5" customHeight="1">
      <c r="A105" s="11" t="s">
        <v>232</v>
      </c>
      <c r="B105" s="11" t="s">
        <v>27</v>
      </c>
      <c r="C105" s="1" t="s">
        <v>233</v>
      </c>
      <c r="D105" s="5" t="s">
        <v>234</v>
      </c>
      <c r="E105" s="19" t="s">
        <v>235</v>
      </c>
      <c r="F105" s="12">
        <f t="shared" si="3"/>
        <v>168.1049</v>
      </c>
      <c r="G105" s="19"/>
      <c r="H105" s="12">
        <v>168.1049</v>
      </c>
      <c r="I105" s="19"/>
      <c r="J105" s="12"/>
    </row>
    <row r="106" spans="1:10" s="2" customFormat="1" ht="18.75">
      <c r="A106" s="39" t="s">
        <v>15</v>
      </c>
      <c r="B106" s="39"/>
      <c r="C106" s="39"/>
      <c r="D106" s="39"/>
      <c r="E106" s="13">
        <f aca="true" t="shared" si="4" ref="E106:J106">SUM(E70:E105)</f>
        <v>5428.416299999999</v>
      </c>
      <c r="F106" s="13">
        <f t="shared" si="4"/>
        <v>2030.2971100000007</v>
      </c>
      <c r="G106" s="13">
        <f t="shared" si="4"/>
        <v>1033.60469</v>
      </c>
      <c r="H106" s="13">
        <f t="shared" si="4"/>
        <v>168.1049</v>
      </c>
      <c r="I106" s="13">
        <f t="shared" si="4"/>
        <v>828.5875199999998</v>
      </c>
      <c r="J106" s="13">
        <f t="shared" si="4"/>
        <v>0</v>
      </c>
    </row>
    <row r="107" spans="1:10" ht="18.75">
      <c r="A107" s="39" t="s">
        <v>13</v>
      </c>
      <c r="B107" s="39"/>
      <c r="C107" s="39"/>
      <c r="D107" s="39"/>
      <c r="E107" s="39"/>
      <c r="F107" s="39"/>
      <c r="G107" s="39"/>
      <c r="H107" s="39"/>
      <c r="I107" s="39"/>
      <c r="J107" s="39"/>
    </row>
    <row r="108" spans="1:10" ht="168.75">
      <c r="A108" s="5" t="s">
        <v>78</v>
      </c>
      <c r="B108" s="11" t="s">
        <v>36</v>
      </c>
      <c r="C108" s="1">
        <v>2811012290</v>
      </c>
      <c r="D108" s="27" t="s">
        <v>79</v>
      </c>
      <c r="E108" s="19">
        <f>4.766+16.905+8.105</f>
        <v>29.776</v>
      </c>
      <c r="F108" s="12">
        <f aca="true" t="shared" si="5" ref="F108:F130">SUM(G108:J108)</f>
        <v>29.776000000000003</v>
      </c>
      <c r="G108" s="19">
        <v>4.766</v>
      </c>
      <c r="H108" s="5">
        <f>16.905+8.105</f>
        <v>25.01</v>
      </c>
      <c r="I108" s="24"/>
      <c r="J108" s="24"/>
    </row>
    <row r="109" spans="1:10" ht="65.25" customHeight="1">
      <c r="A109" s="15" t="s">
        <v>34</v>
      </c>
      <c r="B109" s="14" t="s">
        <v>26</v>
      </c>
      <c r="C109" s="1">
        <v>2708008658</v>
      </c>
      <c r="D109" s="14" t="s">
        <v>35</v>
      </c>
      <c r="E109" s="12">
        <f>0.75+2.25</f>
        <v>3</v>
      </c>
      <c r="F109" s="12">
        <f t="shared" si="5"/>
        <v>1.25</v>
      </c>
      <c r="G109" s="19">
        <f>0.25+0.25+0.25+0.25+0.25</f>
        <v>1.25</v>
      </c>
      <c r="H109" s="12"/>
      <c r="I109" s="19"/>
      <c r="J109" s="12"/>
    </row>
    <row r="110" spans="1:10" ht="63.75" customHeight="1">
      <c r="A110" s="15" t="s">
        <v>101</v>
      </c>
      <c r="B110" s="14" t="s">
        <v>25</v>
      </c>
      <c r="C110" s="1">
        <v>33794989</v>
      </c>
      <c r="D110" s="14" t="s">
        <v>100</v>
      </c>
      <c r="E110" s="12">
        <f>1.397+0.95+3.696+0.762</f>
        <v>6.805</v>
      </c>
      <c r="F110" s="12">
        <f t="shared" si="5"/>
        <v>6.805</v>
      </c>
      <c r="G110" s="19">
        <f>1.397+0.95+3.696+0.762</f>
        <v>6.805</v>
      </c>
      <c r="H110" s="12"/>
      <c r="I110" s="19"/>
      <c r="J110" s="12"/>
    </row>
    <row r="111" spans="1:10" ht="63" customHeight="1">
      <c r="A111" s="15" t="s">
        <v>83</v>
      </c>
      <c r="B111" s="14" t="s">
        <v>80</v>
      </c>
      <c r="C111" s="1" t="s">
        <v>81</v>
      </c>
      <c r="D111" s="14" t="s">
        <v>82</v>
      </c>
      <c r="E111" s="12">
        <v>1.9573</v>
      </c>
      <c r="F111" s="12">
        <f t="shared" si="5"/>
        <v>1.7152600000000002</v>
      </c>
      <c r="G111" s="19">
        <f>0.32871+0.24442+0.0651+0.22267+0.18447+0.46147+0.12523+0.08319</f>
        <v>1.7152600000000002</v>
      </c>
      <c r="H111" s="12"/>
      <c r="I111" s="19"/>
      <c r="J111" s="12"/>
    </row>
    <row r="112" spans="1:10" ht="135" customHeight="1">
      <c r="A112" s="15" t="s">
        <v>89</v>
      </c>
      <c r="B112" s="14" t="s">
        <v>87</v>
      </c>
      <c r="C112" s="28" t="s">
        <v>138</v>
      </c>
      <c r="D112" s="18" t="s">
        <v>88</v>
      </c>
      <c r="E112" s="12">
        <v>4.01958</v>
      </c>
      <c r="F112" s="12">
        <f t="shared" si="5"/>
        <v>4.01958</v>
      </c>
      <c r="G112" s="19">
        <v>4.01958</v>
      </c>
      <c r="H112" s="12"/>
      <c r="I112" s="19"/>
      <c r="J112" s="12"/>
    </row>
    <row r="113" spans="1:10" ht="75.75" customHeight="1">
      <c r="A113" s="15" t="s">
        <v>91</v>
      </c>
      <c r="B113" s="14" t="s">
        <v>87</v>
      </c>
      <c r="C113" s="28" t="s">
        <v>138</v>
      </c>
      <c r="D113" s="18" t="s">
        <v>90</v>
      </c>
      <c r="E113" s="12">
        <v>0.7344</v>
      </c>
      <c r="F113" s="12">
        <f t="shared" si="5"/>
        <v>0.7344</v>
      </c>
      <c r="G113" s="19">
        <v>0.7344</v>
      </c>
      <c r="H113" s="12"/>
      <c r="I113" s="19"/>
      <c r="J113" s="12"/>
    </row>
    <row r="114" spans="1:10" ht="187.5">
      <c r="A114" s="15" t="s">
        <v>111</v>
      </c>
      <c r="B114" s="14" t="s">
        <v>109</v>
      </c>
      <c r="C114" s="1">
        <v>38461727</v>
      </c>
      <c r="D114" s="5" t="s">
        <v>110</v>
      </c>
      <c r="E114" s="12">
        <f>2.15093+2.27042</f>
        <v>4.42135</v>
      </c>
      <c r="F114" s="12">
        <f t="shared" si="5"/>
        <v>4.42135</v>
      </c>
      <c r="G114" s="19">
        <f>2.15093+2.27042</f>
        <v>4.42135</v>
      </c>
      <c r="H114" s="12"/>
      <c r="I114" s="19"/>
      <c r="J114" s="12"/>
    </row>
    <row r="115" spans="1:10" ht="56.25" customHeight="1">
      <c r="A115" s="15" t="s">
        <v>116</v>
      </c>
      <c r="B115" s="14" t="s">
        <v>118</v>
      </c>
      <c r="C115" s="1">
        <v>2793614339</v>
      </c>
      <c r="D115" s="5" t="s">
        <v>117</v>
      </c>
      <c r="E115" s="12">
        <v>24</v>
      </c>
      <c r="F115" s="12">
        <f t="shared" si="5"/>
        <v>12</v>
      </c>
      <c r="G115" s="19">
        <f>4+8</f>
        <v>12</v>
      </c>
      <c r="H115" s="12"/>
      <c r="I115" s="19"/>
      <c r="J115" s="12"/>
    </row>
    <row r="116" spans="1:10" ht="112.5" customHeight="1">
      <c r="A116" s="15" t="s">
        <v>106</v>
      </c>
      <c r="B116" s="11" t="s">
        <v>105</v>
      </c>
      <c r="C116" s="1">
        <v>36359033</v>
      </c>
      <c r="D116" s="18" t="s">
        <v>102</v>
      </c>
      <c r="E116" s="12">
        <f>12+12</f>
        <v>24</v>
      </c>
      <c r="F116" s="12">
        <f t="shared" si="5"/>
        <v>24</v>
      </c>
      <c r="G116" s="19">
        <f>12+12</f>
        <v>24</v>
      </c>
      <c r="H116" s="12"/>
      <c r="I116" s="19"/>
      <c r="J116" s="12"/>
    </row>
    <row r="117" spans="1:10" ht="94.5" customHeight="1">
      <c r="A117" s="15" t="s">
        <v>107</v>
      </c>
      <c r="B117" s="11" t="s">
        <v>105</v>
      </c>
      <c r="C117" s="1">
        <v>36359033</v>
      </c>
      <c r="D117" s="18" t="s">
        <v>103</v>
      </c>
      <c r="E117" s="12">
        <f>15.984+15.984</f>
        <v>31.968</v>
      </c>
      <c r="F117" s="12">
        <f t="shared" si="5"/>
        <v>31.968</v>
      </c>
      <c r="G117" s="19">
        <f>15.984+15.984</f>
        <v>31.968</v>
      </c>
      <c r="H117" s="12"/>
      <c r="I117" s="19"/>
      <c r="J117" s="12"/>
    </row>
    <row r="118" spans="1:10" ht="150">
      <c r="A118" s="15" t="s">
        <v>108</v>
      </c>
      <c r="B118" s="11" t="s">
        <v>105</v>
      </c>
      <c r="C118" s="1">
        <v>36359033</v>
      </c>
      <c r="D118" s="18" t="s">
        <v>104</v>
      </c>
      <c r="E118" s="12">
        <v>3.12528</v>
      </c>
      <c r="F118" s="12">
        <f t="shared" si="5"/>
        <v>3.12528</v>
      </c>
      <c r="G118" s="19">
        <v>3.12528</v>
      </c>
      <c r="H118" s="12"/>
      <c r="I118" s="19"/>
      <c r="J118" s="12"/>
    </row>
    <row r="119" spans="1:10" ht="93.75">
      <c r="A119" s="15" t="s">
        <v>84</v>
      </c>
      <c r="B119" s="14" t="s">
        <v>86</v>
      </c>
      <c r="C119" s="28" t="s">
        <v>174</v>
      </c>
      <c r="D119" s="18" t="s">
        <v>85</v>
      </c>
      <c r="E119" s="12">
        <v>4.454</v>
      </c>
      <c r="F119" s="12">
        <f t="shared" si="5"/>
        <v>4.454</v>
      </c>
      <c r="G119" s="19">
        <v>4.454</v>
      </c>
      <c r="H119" s="12"/>
      <c r="I119" s="19"/>
      <c r="J119" s="12"/>
    </row>
    <row r="120" spans="1:10" ht="62.25" customHeight="1">
      <c r="A120" s="15" t="s">
        <v>223</v>
      </c>
      <c r="B120" s="14" t="s">
        <v>224</v>
      </c>
      <c r="C120" s="28" t="s">
        <v>225</v>
      </c>
      <c r="D120" s="18" t="s">
        <v>226</v>
      </c>
      <c r="E120" s="12">
        <v>11.71337</v>
      </c>
      <c r="F120" s="12">
        <f t="shared" si="5"/>
        <v>2.6917400000000002</v>
      </c>
      <c r="G120" s="19">
        <f>1.27603+0.70785+0.70786</f>
        <v>2.6917400000000002</v>
      </c>
      <c r="H120" s="12"/>
      <c r="I120" s="19"/>
      <c r="J120" s="12"/>
    </row>
    <row r="121" spans="1:10" ht="134.25" customHeight="1">
      <c r="A121" s="15" t="s">
        <v>253</v>
      </c>
      <c r="B121" s="14" t="s">
        <v>255</v>
      </c>
      <c r="C121" s="28" t="s">
        <v>256</v>
      </c>
      <c r="D121" s="18" t="s">
        <v>254</v>
      </c>
      <c r="E121" s="12">
        <v>16.36097</v>
      </c>
      <c r="F121" s="12">
        <f t="shared" si="5"/>
        <v>16.36097</v>
      </c>
      <c r="G121" s="19">
        <v>16.36097</v>
      </c>
      <c r="H121" s="12"/>
      <c r="I121" s="19"/>
      <c r="J121" s="12"/>
    </row>
    <row r="122" spans="1:10" ht="134.25" customHeight="1">
      <c r="A122" s="15" t="s">
        <v>307</v>
      </c>
      <c r="B122" s="14" t="s">
        <v>309</v>
      </c>
      <c r="C122" s="28" t="s">
        <v>310</v>
      </c>
      <c r="D122" s="18" t="s">
        <v>308</v>
      </c>
      <c r="E122" s="12">
        <v>2.4</v>
      </c>
      <c r="F122" s="12">
        <f t="shared" si="5"/>
        <v>2.4</v>
      </c>
      <c r="G122" s="19">
        <v>2.4</v>
      </c>
      <c r="H122" s="12"/>
      <c r="I122" s="19"/>
      <c r="J122" s="12"/>
    </row>
    <row r="123" spans="1:10" ht="134.25" customHeight="1">
      <c r="A123" s="15" t="s">
        <v>311</v>
      </c>
      <c r="B123" s="11" t="s">
        <v>105</v>
      </c>
      <c r="C123" s="1">
        <v>36359033</v>
      </c>
      <c r="D123" s="18" t="s">
        <v>103</v>
      </c>
      <c r="E123" s="12">
        <v>19.36</v>
      </c>
      <c r="F123" s="12">
        <f t="shared" si="5"/>
        <v>19.36</v>
      </c>
      <c r="G123" s="19">
        <v>19.36</v>
      </c>
      <c r="H123" s="12"/>
      <c r="I123" s="19"/>
      <c r="J123" s="12"/>
    </row>
    <row r="124" spans="1:10" ht="134.25" customHeight="1">
      <c r="A124" s="15" t="s">
        <v>325</v>
      </c>
      <c r="B124" s="11" t="s">
        <v>42</v>
      </c>
      <c r="C124" s="1">
        <v>2387118949</v>
      </c>
      <c r="D124" s="18" t="s">
        <v>326</v>
      </c>
      <c r="E124" s="12">
        <v>29.7</v>
      </c>
      <c r="F124" s="12">
        <f t="shared" si="5"/>
        <v>29.7</v>
      </c>
      <c r="G124" s="19"/>
      <c r="H124" s="12"/>
      <c r="I124" s="19">
        <v>29.7</v>
      </c>
      <c r="J124" s="12"/>
    </row>
    <row r="125" spans="1:10" ht="206.25">
      <c r="A125" s="15" t="s">
        <v>222</v>
      </c>
      <c r="B125" s="14" t="s">
        <v>220</v>
      </c>
      <c r="C125" s="32">
        <v>40277858</v>
      </c>
      <c r="D125" s="14" t="s">
        <v>221</v>
      </c>
      <c r="E125" s="12">
        <v>19.849</v>
      </c>
      <c r="F125" s="12">
        <f t="shared" si="5"/>
        <v>0.649</v>
      </c>
      <c r="G125" s="19">
        <v>0.649</v>
      </c>
      <c r="H125" s="12"/>
      <c r="I125" s="19"/>
      <c r="J125" s="12"/>
    </row>
    <row r="126" spans="1:10" ht="112.5">
      <c r="A126" s="15" t="s">
        <v>298</v>
      </c>
      <c r="B126" s="14" t="s">
        <v>299</v>
      </c>
      <c r="C126" s="32">
        <v>23881078</v>
      </c>
      <c r="D126" s="14" t="s">
        <v>300</v>
      </c>
      <c r="E126" s="12">
        <v>6.63096</v>
      </c>
      <c r="F126" s="12">
        <f t="shared" si="5"/>
        <v>3.31548</v>
      </c>
      <c r="G126" s="19">
        <v>3.31548</v>
      </c>
      <c r="H126" s="12"/>
      <c r="I126" s="19"/>
      <c r="J126" s="12"/>
    </row>
    <row r="127" spans="1:10" ht="93.75">
      <c r="A127" s="15" t="s">
        <v>301</v>
      </c>
      <c r="B127" s="14" t="s">
        <v>302</v>
      </c>
      <c r="C127" s="48" t="s">
        <v>303</v>
      </c>
      <c r="D127" s="14" t="s">
        <v>304</v>
      </c>
      <c r="E127" s="12">
        <v>0.16067</v>
      </c>
      <c r="F127" s="12">
        <f t="shared" si="5"/>
        <v>0.16067</v>
      </c>
      <c r="G127" s="19">
        <v>0.16067</v>
      </c>
      <c r="H127" s="12"/>
      <c r="I127" s="19"/>
      <c r="J127" s="12"/>
    </row>
    <row r="128" spans="1:10" ht="160.5" customHeight="1">
      <c r="A128" s="15" t="s">
        <v>305</v>
      </c>
      <c r="B128" s="11" t="s">
        <v>105</v>
      </c>
      <c r="C128" s="1">
        <v>36359033</v>
      </c>
      <c r="D128" s="14" t="s">
        <v>306</v>
      </c>
      <c r="E128" s="12">
        <v>198.9</v>
      </c>
      <c r="F128" s="12">
        <f t="shared" si="5"/>
        <v>59.67</v>
      </c>
      <c r="G128" s="19">
        <v>59.67</v>
      </c>
      <c r="H128" s="12"/>
      <c r="I128" s="19"/>
      <c r="J128" s="12"/>
    </row>
    <row r="129" spans="1:10" ht="75">
      <c r="A129" s="15" t="s">
        <v>178</v>
      </c>
      <c r="B129" s="14" t="s">
        <v>179</v>
      </c>
      <c r="C129" s="1">
        <v>41477040</v>
      </c>
      <c r="D129" s="5" t="s">
        <v>180</v>
      </c>
      <c r="E129" s="12">
        <f>-0.35455-0.054</f>
        <v>-0.40854999999999997</v>
      </c>
      <c r="F129" s="12">
        <f t="shared" si="5"/>
        <v>-0.40854999999999997</v>
      </c>
      <c r="G129" s="19">
        <f>-0.35455-0.054</f>
        <v>-0.40854999999999997</v>
      </c>
      <c r="H129" s="12"/>
      <c r="I129" s="19"/>
      <c r="J129" s="12"/>
    </row>
    <row r="130" spans="1:10" ht="96.75" customHeight="1">
      <c r="A130" s="15" t="s">
        <v>219</v>
      </c>
      <c r="B130" s="11" t="s">
        <v>216</v>
      </c>
      <c r="C130" s="1" t="s">
        <v>217</v>
      </c>
      <c r="D130" s="5" t="s">
        <v>218</v>
      </c>
      <c r="E130" s="12">
        <v>0.192</v>
      </c>
      <c r="F130" s="12">
        <f t="shared" si="5"/>
        <v>0.192</v>
      </c>
      <c r="G130" s="19">
        <v>0.192</v>
      </c>
      <c r="H130" s="12"/>
      <c r="I130" s="19"/>
      <c r="J130" s="12"/>
    </row>
    <row r="131" spans="1:10" s="2" customFormat="1" ht="18.75">
      <c r="A131" s="39" t="s">
        <v>16</v>
      </c>
      <c r="B131" s="39"/>
      <c r="C131" s="39"/>
      <c r="D131" s="39"/>
      <c r="E131" s="13">
        <f>SUM(E108:E130)</f>
        <v>443.11933</v>
      </c>
      <c r="F131" s="13">
        <f>SUM(F108:F130)</f>
        <v>258.36018000000007</v>
      </c>
      <c r="G131" s="13">
        <f>SUM(G108:G130)</f>
        <v>203.65018000000003</v>
      </c>
      <c r="H131" s="13">
        <f>SUM(H108:H130)</f>
        <v>25.01</v>
      </c>
      <c r="I131" s="13">
        <f>SUM(I108:I130)</f>
        <v>29.7</v>
      </c>
      <c r="J131" s="13">
        <f>SUM(J108:J130)</f>
        <v>0</v>
      </c>
    </row>
    <row r="132" spans="1:10" s="7" customFormat="1" ht="20.25">
      <c r="A132" s="39" t="s">
        <v>171</v>
      </c>
      <c r="B132" s="39"/>
      <c r="C132" s="39"/>
      <c r="D132" s="39"/>
      <c r="E132" s="39"/>
      <c r="F132" s="39"/>
      <c r="G132" s="39"/>
      <c r="H132" s="39"/>
      <c r="I132" s="39"/>
      <c r="J132" s="39"/>
    </row>
    <row r="133" spans="1:10" s="7" customFormat="1" ht="93.75">
      <c r="A133" s="15" t="s">
        <v>173</v>
      </c>
      <c r="B133" s="11" t="s">
        <v>175</v>
      </c>
      <c r="C133" s="11">
        <v>2992010518</v>
      </c>
      <c r="D133" s="11" t="s">
        <v>176</v>
      </c>
      <c r="E133" s="29">
        <v>8.5</v>
      </c>
      <c r="F133" s="29">
        <f>SUM(G133:J133)</f>
        <v>8.5</v>
      </c>
      <c r="G133" s="29"/>
      <c r="H133" s="29"/>
      <c r="I133" s="29">
        <v>8.5</v>
      </c>
      <c r="J133" s="29"/>
    </row>
    <row r="134" spans="1:10" s="7" customFormat="1" ht="97.5" customHeight="1">
      <c r="A134" s="15" t="s">
        <v>188</v>
      </c>
      <c r="B134" s="11" t="s">
        <v>190</v>
      </c>
      <c r="C134" s="11">
        <v>3101606212</v>
      </c>
      <c r="D134" s="11" t="s">
        <v>189</v>
      </c>
      <c r="E134" s="29">
        <v>6.3</v>
      </c>
      <c r="F134" s="29">
        <f>SUM(G134:J134)</f>
        <v>6.3</v>
      </c>
      <c r="G134" s="29"/>
      <c r="H134" s="29"/>
      <c r="I134" s="29">
        <v>6.3</v>
      </c>
      <c r="J134" s="29"/>
    </row>
    <row r="135" spans="1:10" s="7" customFormat="1" ht="97.5" customHeight="1">
      <c r="A135" s="15" t="s">
        <v>327</v>
      </c>
      <c r="B135" s="11" t="s">
        <v>328</v>
      </c>
      <c r="C135" s="11">
        <v>2843514720</v>
      </c>
      <c r="D135" s="11" t="s">
        <v>329</v>
      </c>
      <c r="E135" s="29">
        <v>16.1</v>
      </c>
      <c r="F135" s="29">
        <f>SUM(G135:J135)</f>
        <v>16.1</v>
      </c>
      <c r="G135" s="29"/>
      <c r="H135" s="29"/>
      <c r="I135" s="29">
        <v>16.1</v>
      </c>
      <c r="J135" s="29"/>
    </row>
    <row r="136" spans="1:10" s="7" customFormat="1" ht="20.25">
      <c r="A136" s="39" t="s">
        <v>172</v>
      </c>
      <c r="B136" s="39"/>
      <c r="C136" s="39"/>
      <c r="D136" s="39"/>
      <c r="E136" s="17">
        <f>SUM(E133:E135)</f>
        <v>30.900000000000002</v>
      </c>
      <c r="F136" s="17">
        <f>SUM(F133:F135)</f>
        <v>30.900000000000002</v>
      </c>
      <c r="G136" s="17">
        <f>SUM(G133:G135)</f>
        <v>0</v>
      </c>
      <c r="H136" s="17">
        <f>SUM(H133:H135)</f>
        <v>0</v>
      </c>
      <c r="I136" s="17">
        <f>SUM(I133:I135)</f>
        <v>30.900000000000002</v>
      </c>
      <c r="J136" s="17">
        <f>SUM(J133:J135)</f>
        <v>0</v>
      </c>
    </row>
    <row r="137" spans="1:10" s="7" customFormat="1" ht="20.25">
      <c r="A137" s="46" t="s">
        <v>17</v>
      </c>
      <c r="B137" s="46"/>
      <c r="C137" s="46"/>
      <c r="D137" s="46"/>
      <c r="E137" s="17">
        <f>E136+E131+E106+E68+E62</f>
        <v>7358.358069999999</v>
      </c>
      <c r="F137" s="17">
        <f>F136+F131+F106+F68+F62</f>
        <v>3272.3204700000006</v>
      </c>
      <c r="G137" s="17">
        <f>G136+G131+G106+G68+G62</f>
        <v>1656.70914</v>
      </c>
      <c r="H137" s="17">
        <f>H136+H131+H106+H68+H62</f>
        <v>281.73229</v>
      </c>
      <c r="I137" s="17">
        <f>I136+I131+I106+I68+I62</f>
        <v>1333.8790399999998</v>
      </c>
      <c r="J137" s="17">
        <f>J136+J131+J106+J68+J62</f>
        <v>0</v>
      </c>
    </row>
    <row r="139" spans="1:10" s="7" customFormat="1" ht="20.25">
      <c r="A139" s="6" t="s">
        <v>21</v>
      </c>
      <c r="B139" s="6"/>
      <c r="C139" s="6"/>
      <c r="E139" s="45"/>
      <c r="F139" s="45"/>
      <c r="G139" s="20"/>
      <c r="H139" s="8"/>
      <c r="I139" s="45" t="s">
        <v>30</v>
      </c>
      <c r="J139" s="45"/>
    </row>
    <row r="140" spans="1:10" s="7" customFormat="1" ht="20.25">
      <c r="A140" s="6"/>
      <c r="B140" s="6"/>
      <c r="C140" s="6"/>
      <c r="E140" s="8"/>
      <c r="F140" s="8"/>
      <c r="G140" s="20"/>
      <c r="H140" s="8"/>
      <c r="I140" s="20"/>
      <c r="J140" s="8"/>
    </row>
    <row r="141" spans="1:10" s="7" customFormat="1" ht="20.25">
      <c r="A141" s="44" t="s">
        <v>22</v>
      </c>
      <c r="B141" s="44"/>
      <c r="C141" s="44"/>
      <c r="E141" s="8"/>
      <c r="F141" s="8"/>
      <c r="G141" s="20"/>
      <c r="H141" s="8"/>
      <c r="I141" s="45" t="s">
        <v>29</v>
      </c>
      <c r="J141" s="45"/>
    </row>
    <row r="142" spans="1:10" ht="18.75">
      <c r="A142" s="47" t="s">
        <v>286</v>
      </c>
      <c r="B142" s="47"/>
      <c r="C142" s="3"/>
      <c r="E142" s="3"/>
      <c r="F142" s="3"/>
      <c r="G142" s="3"/>
      <c r="H142" s="3"/>
      <c r="I142" s="3"/>
      <c r="J142" s="3"/>
    </row>
  </sheetData>
  <sheetProtection/>
  <mergeCells count="28">
    <mergeCell ref="E6:E8"/>
    <mergeCell ref="F6:J6"/>
    <mergeCell ref="G7:J7"/>
    <mergeCell ref="A142:B142"/>
    <mergeCell ref="E139:F139"/>
    <mergeCell ref="I139:J139"/>
    <mergeCell ref="A63:J63"/>
    <mergeCell ref="A132:J132"/>
    <mergeCell ref="A136:D136"/>
    <mergeCell ref="A68:D68"/>
    <mergeCell ref="A141:C141"/>
    <mergeCell ref="A106:D106"/>
    <mergeCell ref="A107:J107"/>
    <mergeCell ref="A131:D131"/>
    <mergeCell ref="I141:J141"/>
    <mergeCell ref="A62:D62"/>
    <mergeCell ref="A137:D137"/>
    <mergeCell ref="A69:J69"/>
    <mergeCell ref="A10:J10"/>
    <mergeCell ref="A1:J1"/>
    <mergeCell ref="A2:J2"/>
    <mergeCell ref="A3:J3"/>
    <mergeCell ref="A4:J4"/>
    <mergeCell ref="A6:A8"/>
    <mergeCell ref="B6:B8"/>
    <mergeCell ref="F7:F8"/>
    <mergeCell ref="C6:C8"/>
    <mergeCell ref="D6:D8"/>
  </mergeCells>
  <printOptions/>
  <pageMargins left="0.2755905511811024" right="0.1968503937007874" top="0.2755905511811024" bottom="0.15748031496062992" header="0.15748031496062992" footer="0.1574803149606299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ekonom</cp:lastModifiedBy>
  <cp:lastPrinted>2019-03-04T08:19:15Z</cp:lastPrinted>
  <dcterms:created xsi:type="dcterms:W3CDTF">2017-03-21T09:08:29Z</dcterms:created>
  <dcterms:modified xsi:type="dcterms:W3CDTF">2019-06-04T08:13:46Z</dcterms:modified>
  <cp:category/>
  <cp:version/>
  <cp:contentType/>
  <cp:contentStatus/>
</cp:coreProperties>
</file>